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14940" windowHeight="8385" tabRatio="897" activeTab="0"/>
  </bookViews>
  <sheets>
    <sheet name="TOTAL" sheetId="1" r:id="rId1"/>
    <sheet name="DFS" sheetId="2" r:id="rId2"/>
    <sheet name="ELF" sheetId="3" r:id="rId3"/>
    <sheet name="GAZ de France" sheetId="4" r:id="rId4"/>
    <sheet name="DP" sheetId="5" r:id="rId5"/>
    <sheet name="RWE" sheetId="6" r:id="rId6"/>
    <sheet name="Schlum" sheetId="7" r:id="rId7"/>
    <sheet name="Bayer" sheetId="8" r:id="rId8"/>
    <sheet name="Coca Cola" sheetId="9" r:id="rId9"/>
    <sheet name="Metro" sheetId="10" r:id="rId10"/>
    <sheet name="Renault" sheetId="11" r:id="rId11"/>
    <sheet name="France Tel" sheetId="12" r:id="rId12"/>
    <sheet name="Pro7" sheetId="13" r:id="rId13"/>
    <sheet name="Alcatel" sheetId="14" r:id="rId14"/>
    <sheet name="Kamps" sheetId="15" r:id="rId15"/>
  </sheets>
  <definedNames>
    <definedName name="_xlnm.Print_Area" localSheetId="0">'TOTAL'!$A$1:$H$31</definedName>
  </definedNames>
  <calcPr fullCalcOnLoad="1"/>
</workbook>
</file>

<file path=xl/comments1.xml><?xml version="1.0" encoding="utf-8"?>
<comments xmlns="http://schemas.openxmlformats.org/spreadsheetml/2006/main">
  <authors>
    <author>C. Rouette</author>
  </authors>
  <commentList>
    <comment ref="I1" authorId="0">
      <text>
        <r>
          <rPr>
            <b/>
            <sz val="8"/>
            <rFont val="Tahoma"/>
            <family val="0"/>
          </rPr>
          <t>C. Rouette:</t>
        </r>
        <r>
          <rPr>
            <sz val="8"/>
            <rFont val="Tahoma"/>
            <family val="0"/>
          </rPr>
          <t xml:space="preserve">
Diese müssen zuvor in den einzelnen Tabellenblättern kalkuliert werden!</t>
        </r>
      </text>
    </comment>
  </commentList>
</comments>
</file>

<file path=xl/sharedStrings.xml><?xml version="1.0" encoding="utf-8"?>
<sst xmlns="http://schemas.openxmlformats.org/spreadsheetml/2006/main" count="268" uniqueCount="81">
  <si>
    <t> Name</t>
  </si>
  <si>
    <t>Aktuell</t>
  </si>
  <si>
    <t>Datum</t>
  </si>
  <si>
    <t>Kupon</t>
  </si>
  <si>
    <t>Rendite</t>
  </si>
  <si>
    <t>Ø Volumen</t>
  </si>
  <si>
    <t>Moodys</t>
  </si>
  <si>
    <t>Fälligkeit </t>
  </si>
  <si>
    <t> DFS DEUT. FLUGSICHERUNG GMBH MTN-AN..</t>
  </si>
  <si>
    <t>18.06.</t>
  </si>
  <si>
    <t>Aaa</t>
  </si>
  <si>
    <t>09.01.2006 </t>
  </si>
  <si>
    <t> DE0003502555</t>
  </si>
  <si>
    <t> ELF ACQUITAINE S.A. EO-BONDS 1999(0..</t>
  </si>
  <si>
    <t>Aa2</t>
  </si>
  <si>
    <t>23.03.2009 </t>
  </si>
  <si>
    <t> XS0095521976</t>
  </si>
  <si>
    <t> GAZ de France S.A. EO-Medium-Term N..</t>
  </si>
  <si>
    <t>Aa3</t>
  </si>
  <si>
    <t>19.02.2013 </t>
  </si>
  <si>
    <t> FR0000472326</t>
  </si>
  <si>
    <t> Deutsche Post Finance B.V. EO-Anl. ..</t>
  </si>
  <si>
    <t>04.10.2012 </t>
  </si>
  <si>
    <t> DE0009279042</t>
  </si>
  <si>
    <t>A1</t>
  </si>
  <si>
    <t> SCHLUMBERGER INDUSTRIES S.A. EO-BON..</t>
  </si>
  <si>
    <t>03.10.2008 </t>
  </si>
  <si>
    <t> XS0136656054</t>
  </si>
  <si>
    <t> Bayer AG MTN-Anleihe v.2002(2012)</t>
  </si>
  <si>
    <t>A3</t>
  </si>
  <si>
    <t>10.04.2012 </t>
  </si>
  <si>
    <t> XS0145758040</t>
  </si>
  <si>
    <t> COCA-COLA ERFR.GETRAENKE AG ANLEIHE..</t>
  </si>
  <si>
    <t>04.07.2005 </t>
  </si>
  <si>
    <t> DE0005440010</t>
  </si>
  <si>
    <t> METRO AG Medium Term Notes v.03(08)</t>
  </si>
  <si>
    <t>Baa1</t>
  </si>
  <si>
    <t>13.02.2008 </t>
  </si>
  <si>
    <t> DE0002017217</t>
  </si>
  <si>
    <t> Renault S.A. EO-Medium-Term Notes 2..</t>
  </si>
  <si>
    <t>Baa2</t>
  </si>
  <si>
    <t>26.06.2009 </t>
  </si>
  <si>
    <t> FR0000489767</t>
  </si>
  <si>
    <t> France Télécom EO-Medium-Term Notes..</t>
  </si>
  <si>
    <t>Baa3</t>
  </si>
  <si>
    <t>28.01.2013 </t>
  </si>
  <si>
    <t> FR0000471948</t>
  </si>
  <si>
    <t> PROSIEBENSAT.1 MEDIA AG ANLEIHE V.2..</t>
  </si>
  <si>
    <t>Ba3</t>
  </si>
  <si>
    <t>28.03.2006 </t>
  </si>
  <si>
    <t> XS0121016272</t>
  </si>
  <si>
    <t> Alcatel S.A. EO-Med.-Term Nts 2001(..</t>
  </si>
  <si>
    <t>B1</t>
  </si>
  <si>
    <t>07.12.2006 </t>
  </si>
  <si>
    <t> FR0000487647</t>
  </si>
  <si>
    <t> KAMPS AG ANLEIHE V.2000(2005)</t>
  </si>
  <si>
    <t>26.09.2005 </t>
  </si>
  <si>
    <t> XS0118300051</t>
  </si>
  <si>
    <t> ROBERT BOSCH GMBH ANLEIHE V.2001(20..</t>
  </si>
  <si>
    <t>--</t>
  </si>
  <si>
    <t>19.07.2006 </t>
  </si>
  <si>
    <t> DE0005170344</t>
  </si>
  <si>
    <t>Effektivzins:</t>
  </si>
  <si>
    <t>Barwert der Zahlung</t>
  </si>
  <si>
    <t>Kapitalwert</t>
  </si>
  <si>
    <t>erwartete Zahlungen</t>
  </si>
  <si>
    <t>Risikoprämie</t>
  </si>
  <si>
    <t>Ausfallwahrsch.</t>
  </si>
  <si>
    <t>verbriefte Zahlungen</t>
  </si>
  <si>
    <t> RWE AG Medium Term Notes v.03(09)</t>
  </si>
  <si>
    <t xml:space="preserve"> DE0007956864</t>
  </si>
  <si>
    <t>Tage zum 18.6.2003</t>
  </si>
  <si>
    <t>Berechnung des synthetischen Bonds (mit exakter Laufzeit):</t>
  </si>
  <si>
    <t>Tage bis Laufzeitende:</t>
  </si>
  <si>
    <t>Jahre bis Laufzeitende:</t>
  </si>
  <si>
    <t>sicherer Zins:</t>
  </si>
  <si>
    <t>Berechnung der Risikoprämie:</t>
  </si>
  <si>
    <t>Ausfallwahrscheinlichkeit</t>
  </si>
  <si>
    <t>Recoveryrate:</t>
  </si>
  <si>
    <t>n.n.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</si>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</sst>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%"/>
    <numFmt numFmtId="166" formatCode="0.0"/>
    <numFmt numFmtId="167" formatCode="0.0000"/>
    <numFmt numFmtId="168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10" fontId="0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9" applyNumberFormat="1" applyAlignment="1">
      <alignment/>
    </xf>
    <xf numFmtId="165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1" fillId="0" borderId="7" xfId="0" applyFont="1" applyBorder="1" applyAlignment="1">
      <alignment/>
    </xf>
    <xf numFmtId="165" fontId="0" fillId="0" borderId="8" xfId="19" applyNumberFormat="1" applyFont="1" applyFill="1" applyBorder="1" applyAlignment="1">
      <alignment wrapText="1"/>
    </xf>
    <xf numFmtId="165" fontId="1" fillId="2" borderId="8" xfId="19" applyNumberFormat="1" applyFont="1" applyFill="1" applyBorder="1" applyAlignment="1">
      <alignment wrapText="1"/>
    </xf>
    <xf numFmtId="165" fontId="0" fillId="2" borderId="8" xfId="19" applyNumberFormat="1" applyFont="1" applyFill="1" applyBorder="1" applyAlignment="1">
      <alignment wrapText="1"/>
    </xf>
    <xf numFmtId="165" fontId="1" fillId="0" borderId="8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65" fontId="0" fillId="0" borderId="0" xfId="19" applyNumberFormat="1" applyFill="1" applyAlignment="1">
      <alignment/>
    </xf>
    <xf numFmtId="9" fontId="0" fillId="0" borderId="0" xfId="19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19" applyNumberFormat="1" applyAlignment="1">
      <alignment horizontal="center"/>
    </xf>
    <xf numFmtId="10" fontId="0" fillId="0" borderId="0" xfId="19" applyNumberFormat="1" applyFill="1" applyAlignment="1">
      <alignment horizontal="center"/>
    </xf>
    <xf numFmtId="10" fontId="0" fillId="0" borderId="0" xfId="19" applyNumberFormat="1" applyAlignment="1">
      <alignment/>
    </xf>
    <xf numFmtId="0" fontId="1" fillId="0" borderId="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10" fontId="0" fillId="2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165" fontId="0" fillId="2" borderId="8" xfId="19" applyNumberFormat="1" applyFont="1" applyFill="1" applyBorder="1" applyAlignment="1">
      <alignment horizontal="center"/>
    </xf>
    <xf numFmtId="165" fontId="0" fillId="2" borderId="9" xfId="19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Coupon+up" TargetMode="External" /><Relationship Id="rId2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IsmaYieldToMaturity+up" TargetMode="External" /><Relationship Id="rId3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STD_VolumeAvg30TD+up" TargetMode="External" /><Relationship Id="rId4" Type="http://schemas.openxmlformats.org/officeDocument/2006/relationships/hyperlink" Target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USR_MoodysIssueRating+down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8"/>
  </sheetPr>
  <dimension ref="A1:J31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43.57421875" style="3" bestFit="1" customWidth="1"/>
    <col min="2" max="2" width="7.28125" style="3" bestFit="1" customWidth="1"/>
    <col min="3" max="3" width="6.8515625" style="3" customWidth="1"/>
    <col min="4" max="4" width="6.8515625" style="3" bestFit="1" customWidth="1"/>
    <col min="5" max="5" width="8.00390625" style="3" customWidth="1"/>
    <col min="6" max="6" width="11.140625" style="3" customWidth="1"/>
    <col min="7" max="7" width="7.8515625" style="3" bestFit="1" customWidth="1"/>
    <col min="8" max="8" width="10.7109375" style="3" bestFit="1" customWidth="1"/>
    <col min="9" max="9" width="12.8515625" style="3" hidden="1" customWidth="1"/>
    <col min="10" max="10" width="12.8515625" style="3" bestFit="1" customWidth="1"/>
    <col min="11" max="16384" width="11.421875" style="3" customWidth="1"/>
  </cols>
  <sheetData>
    <row r="1" spans="1:10" s="1" customFormat="1" ht="25.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28" t="s">
        <v>66</v>
      </c>
      <c r="J1" s="62" t="s">
        <v>66</v>
      </c>
    </row>
    <row r="2" spans="1:10" s="2" customFormat="1" ht="25.5">
      <c r="A2" s="14" t="s">
        <v>8</v>
      </c>
      <c r="B2" s="4">
        <v>108.55</v>
      </c>
      <c r="C2" s="4" t="s">
        <v>9</v>
      </c>
      <c r="D2" s="4">
        <v>6.25</v>
      </c>
      <c r="E2" s="5">
        <v>0.02733</v>
      </c>
      <c r="F2" s="6">
        <v>4500</v>
      </c>
      <c r="G2" s="4" t="s">
        <v>10</v>
      </c>
      <c r="H2" s="7" t="s">
        <v>11</v>
      </c>
      <c r="I2" s="32">
        <f>DFS!C20</f>
        <v>0.01573905124383103</v>
      </c>
      <c r="J2" s="63">
        <f>DFS!C20</f>
        <v>0.01573905124383103</v>
      </c>
    </row>
    <row r="3" spans="1:10" s="2" customFormat="1" ht="12.75">
      <c r="A3" s="15" t="s">
        <v>12</v>
      </c>
      <c r="B3" s="4"/>
      <c r="C3" s="4"/>
      <c r="D3" s="4"/>
      <c r="E3" s="5"/>
      <c r="F3" s="6"/>
      <c r="G3" s="4"/>
      <c r="H3" s="7"/>
      <c r="I3" s="29"/>
      <c r="J3" s="63"/>
    </row>
    <row r="4" spans="1:10" s="2" customFormat="1" ht="25.5">
      <c r="A4" s="16" t="s">
        <v>13</v>
      </c>
      <c r="B4" s="8">
        <v>106</v>
      </c>
      <c r="C4" s="8" t="s">
        <v>9</v>
      </c>
      <c r="D4" s="8">
        <v>4.5</v>
      </c>
      <c r="E4" s="9">
        <v>0.03335</v>
      </c>
      <c r="F4" s="8">
        <v>0</v>
      </c>
      <c r="G4" s="8" t="s">
        <v>14</v>
      </c>
      <c r="H4" s="10" t="s">
        <v>15</v>
      </c>
      <c r="I4" s="30">
        <f>ELF!C20</f>
        <v>0.0038584997510703913</v>
      </c>
      <c r="J4" s="63">
        <f>ELF!C20</f>
        <v>0.0038584997510703913</v>
      </c>
    </row>
    <row r="5" spans="1:10" s="2" customFormat="1" ht="12.75">
      <c r="A5" s="17" t="s">
        <v>16</v>
      </c>
      <c r="B5" s="8"/>
      <c r="C5" s="8"/>
      <c r="D5" s="8"/>
      <c r="E5" s="9"/>
      <c r="F5" s="8"/>
      <c r="G5" s="8"/>
      <c r="H5" s="10"/>
      <c r="I5" s="31"/>
      <c r="J5" s="63"/>
    </row>
    <row r="6" spans="1:10" s="2" customFormat="1" ht="12.75">
      <c r="A6" s="14" t="s">
        <v>17</v>
      </c>
      <c r="B6" s="49">
        <v>105.2</v>
      </c>
      <c r="C6" s="49" t="s">
        <v>9</v>
      </c>
      <c r="D6" s="49">
        <v>4.75</v>
      </c>
      <c r="E6" s="50">
        <v>0.04086</v>
      </c>
      <c r="F6" s="49">
        <v>0</v>
      </c>
      <c r="G6" s="49" t="s">
        <v>18</v>
      </c>
      <c r="H6" s="51" t="s">
        <v>19</v>
      </c>
      <c r="I6" s="32">
        <f>'GAZ de France'!C20</f>
        <v>0.0003241137837129704</v>
      </c>
      <c r="J6" s="63">
        <f>'GAZ de France'!C20</f>
        <v>0.0003241137837129704</v>
      </c>
    </row>
    <row r="7" spans="1:10" s="2" customFormat="1" ht="12.75">
      <c r="A7" s="15" t="s">
        <v>20</v>
      </c>
      <c r="B7" s="49"/>
      <c r="C7" s="49"/>
      <c r="D7" s="49"/>
      <c r="E7" s="50"/>
      <c r="F7" s="49"/>
      <c r="G7" s="49"/>
      <c r="H7" s="51"/>
      <c r="I7" s="29"/>
      <c r="J7" s="63" t="s">
        <v>80</v>
      </c>
    </row>
    <row r="8" spans="1:10" s="2" customFormat="1" ht="12.75">
      <c r="A8" s="16" t="s">
        <v>21</v>
      </c>
      <c r="B8" s="52">
        <v>106.8</v>
      </c>
      <c r="C8" s="52" t="s">
        <v>9</v>
      </c>
      <c r="D8" s="52">
        <v>5.125</v>
      </c>
      <c r="E8" s="53">
        <v>0.04222</v>
      </c>
      <c r="F8" s="54">
        <v>23577</v>
      </c>
      <c r="G8" s="52" t="s">
        <v>18</v>
      </c>
      <c r="H8" s="55" t="s">
        <v>22</v>
      </c>
      <c r="I8" s="30">
        <f>'DP'!C20</f>
        <v>0.0062525469300312025</v>
      </c>
      <c r="J8" s="63">
        <f>'DP'!C20</f>
        <v>0.0062525469300312025</v>
      </c>
    </row>
    <row r="9" spans="1:10" s="2" customFormat="1" ht="12.75">
      <c r="A9" s="17" t="s">
        <v>23</v>
      </c>
      <c r="B9" s="52"/>
      <c r="C9" s="52"/>
      <c r="D9" s="52"/>
      <c r="E9" s="53"/>
      <c r="F9" s="54"/>
      <c r="G9" s="52"/>
      <c r="H9" s="55"/>
      <c r="I9" s="31"/>
      <c r="J9" s="63"/>
    </row>
    <row r="10" spans="1:10" s="2" customFormat="1" ht="12.75">
      <c r="A10" s="14" t="s">
        <v>69</v>
      </c>
      <c r="B10" s="49">
        <v>108.75</v>
      </c>
      <c r="C10" s="49" t="s">
        <v>9</v>
      </c>
      <c r="D10" s="49">
        <v>5.625</v>
      </c>
      <c r="E10" s="50">
        <v>0.03937</v>
      </c>
      <c r="F10" s="56">
        <v>1667</v>
      </c>
      <c r="G10" s="49" t="s">
        <v>24</v>
      </c>
      <c r="H10" s="57">
        <v>39967</v>
      </c>
      <c r="I10" s="32">
        <f>RWE!C20</f>
        <v>0.0074270446159300785</v>
      </c>
      <c r="J10" s="63">
        <f>RWE!C20</f>
        <v>0.0074270446159300785</v>
      </c>
    </row>
    <row r="11" spans="1:10" s="2" customFormat="1" ht="12.75">
      <c r="A11" s="15" t="s">
        <v>70</v>
      </c>
      <c r="B11" s="49"/>
      <c r="C11" s="49"/>
      <c r="D11" s="49"/>
      <c r="E11" s="50"/>
      <c r="F11" s="56"/>
      <c r="G11" s="49"/>
      <c r="H11" s="51"/>
      <c r="I11" s="29"/>
      <c r="J11" s="63"/>
    </row>
    <row r="12" spans="1:10" s="2" customFormat="1" ht="12.75">
      <c r="A12" s="16" t="s">
        <v>25</v>
      </c>
      <c r="B12" s="52">
        <v>110.5</v>
      </c>
      <c r="C12" s="52" t="s">
        <v>9</v>
      </c>
      <c r="D12" s="52">
        <v>5.25</v>
      </c>
      <c r="E12" s="53">
        <v>0.03065</v>
      </c>
      <c r="F12" s="54">
        <v>3700</v>
      </c>
      <c r="G12" s="52" t="s">
        <v>24</v>
      </c>
      <c r="H12" s="55" t="s">
        <v>26</v>
      </c>
      <c r="I12" s="30">
        <f>Schlum!C20</f>
        <v>0.007236557830874013</v>
      </c>
      <c r="J12" s="63">
        <f>Schlum!C20</f>
        <v>0.007236557830874013</v>
      </c>
    </row>
    <row r="13" spans="1:10" s="2" customFormat="1" ht="12.75">
      <c r="A13" s="17" t="s">
        <v>27</v>
      </c>
      <c r="B13" s="52"/>
      <c r="C13" s="52"/>
      <c r="D13" s="52"/>
      <c r="E13" s="53"/>
      <c r="F13" s="54"/>
      <c r="G13" s="52"/>
      <c r="H13" s="55"/>
      <c r="I13" s="31"/>
      <c r="J13" s="63"/>
    </row>
    <row r="14" spans="1:10" s="2" customFormat="1" ht="12.75">
      <c r="A14" s="14" t="s">
        <v>28</v>
      </c>
      <c r="B14" s="49">
        <v>109.5</v>
      </c>
      <c r="C14" s="49" t="s">
        <v>9</v>
      </c>
      <c r="D14" s="49">
        <v>6</v>
      </c>
      <c r="E14" s="50">
        <v>0.04657</v>
      </c>
      <c r="F14" s="56">
        <v>117233</v>
      </c>
      <c r="G14" s="49" t="s">
        <v>29</v>
      </c>
      <c r="H14" s="51" t="s">
        <v>30</v>
      </c>
      <c r="I14" s="32">
        <f>Bayer!C20</f>
        <v>0.008129331830741444</v>
      </c>
      <c r="J14" s="63">
        <f>Bayer!C20</f>
        <v>0.008129331830741444</v>
      </c>
    </row>
    <row r="15" spans="1:10" s="2" customFormat="1" ht="12.75">
      <c r="A15" s="15" t="s">
        <v>31</v>
      </c>
      <c r="B15" s="49"/>
      <c r="C15" s="49"/>
      <c r="D15" s="49"/>
      <c r="E15" s="50"/>
      <c r="F15" s="56"/>
      <c r="G15" s="49"/>
      <c r="H15" s="51"/>
      <c r="I15" s="29"/>
      <c r="J15" s="63"/>
    </row>
    <row r="16" spans="1:10" s="2" customFormat="1" ht="12.75">
      <c r="A16" s="16" t="s">
        <v>32</v>
      </c>
      <c r="B16" s="52">
        <v>106</v>
      </c>
      <c r="C16" s="52" t="s">
        <v>9</v>
      </c>
      <c r="D16" s="52">
        <v>5.875</v>
      </c>
      <c r="E16" s="53">
        <v>0.02804</v>
      </c>
      <c r="F16" s="54">
        <v>2800</v>
      </c>
      <c r="G16" s="52" t="s">
        <v>29</v>
      </c>
      <c r="H16" s="55" t="s">
        <v>33</v>
      </c>
      <c r="I16" s="30">
        <f>'Coca Cola'!C20</f>
        <v>0.034626271070106296</v>
      </c>
      <c r="J16" s="63">
        <f>'Coca Cola'!C20</f>
        <v>0.034626271070106296</v>
      </c>
    </row>
    <row r="17" spans="1:10" s="2" customFormat="1" ht="12.75">
      <c r="A17" s="17" t="s">
        <v>34</v>
      </c>
      <c r="B17" s="52"/>
      <c r="C17" s="52"/>
      <c r="D17" s="52"/>
      <c r="E17" s="53"/>
      <c r="F17" s="54"/>
      <c r="G17" s="52"/>
      <c r="H17" s="55"/>
      <c r="I17" s="31"/>
      <c r="J17" s="63"/>
    </row>
    <row r="18" spans="1:10" s="2" customFormat="1" ht="12.75">
      <c r="A18" s="14" t="s">
        <v>35</v>
      </c>
      <c r="B18" s="49">
        <v>106</v>
      </c>
      <c r="C18" s="49" t="s">
        <v>9</v>
      </c>
      <c r="D18" s="49">
        <v>5.125</v>
      </c>
      <c r="E18" s="50">
        <v>0.03693</v>
      </c>
      <c r="F18" s="56">
        <v>37067</v>
      </c>
      <c r="G18" s="49" t="s">
        <v>36</v>
      </c>
      <c r="H18" s="51" t="s">
        <v>37</v>
      </c>
      <c r="I18" s="32">
        <f>Metro!C20</f>
        <v>0.009695634535103095</v>
      </c>
      <c r="J18" s="63">
        <f>Metro!C20</f>
        <v>0.009695634535103095</v>
      </c>
    </row>
    <row r="19" spans="1:10" s="2" customFormat="1" ht="12.75">
      <c r="A19" s="15" t="s">
        <v>38</v>
      </c>
      <c r="B19" s="49"/>
      <c r="C19" s="49"/>
      <c r="D19" s="49"/>
      <c r="E19" s="50"/>
      <c r="F19" s="56"/>
      <c r="G19" s="49"/>
      <c r="H19" s="51"/>
      <c r="I19" s="29"/>
      <c r="J19" s="63"/>
    </row>
    <row r="20" spans="1:10" s="2" customFormat="1" ht="12.75">
      <c r="A20" s="16" t="s">
        <v>39</v>
      </c>
      <c r="B20" s="52">
        <v>111</v>
      </c>
      <c r="C20" s="52" t="s">
        <v>9</v>
      </c>
      <c r="D20" s="52">
        <v>6.125</v>
      </c>
      <c r="E20" s="53">
        <v>0.04029</v>
      </c>
      <c r="F20" s="52">
        <v>0</v>
      </c>
      <c r="G20" s="52" t="s">
        <v>40</v>
      </c>
      <c r="H20" s="55" t="s">
        <v>41</v>
      </c>
      <c r="I20" s="30">
        <f>Renault!C20</f>
        <v>0.022412851780509425</v>
      </c>
      <c r="J20" s="63">
        <f>Renault!C20</f>
        <v>0.022412851780509425</v>
      </c>
    </row>
    <row r="21" spans="1:10" s="2" customFormat="1" ht="12.75">
      <c r="A21" s="17" t="s">
        <v>42</v>
      </c>
      <c r="B21" s="52"/>
      <c r="C21" s="52"/>
      <c r="D21" s="52"/>
      <c r="E21" s="53"/>
      <c r="F21" s="52"/>
      <c r="G21" s="52"/>
      <c r="H21" s="55"/>
      <c r="I21" s="31"/>
      <c r="J21" s="63"/>
    </row>
    <row r="22" spans="1:10" s="2" customFormat="1" ht="12.75">
      <c r="A22" s="14" t="s">
        <v>43</v>
      </c>
      <c r="B22" s="49">
        <v>119</v>
      </c>
      <c r="C22" s="49" t="s">
        <v>9</v>
      </c>
      <c r="D22" s="49">
        <v>7.25</v>
      </c>
      <c r="E22" s="50">
        <v>0.04737</v>
      </c>
      <c r="F22" s="56">
        <v>44667</v>
      </c>
      <c r="G22" s="49" t="s">
        <v>44</v>
      </c>
      <c r="H22" s="51" t="s">
        <v>45</v>
      </c>
      <c r="I22" s="32">
        <f>'France Tel'!C20</f>
        <v>0.005303328052932321</v>
      </c>
      <c r="J22" s="63">
        <f>'France Tel'!C20</f>
        <v>0.005303328052932321</v>
      </c>
    </row>
    <row r="23" spans="1:10" s="2" customFormat="1" ht="12.75">
      <c r="A23" s="15" t="s">
        <v>46</v>
      </c>
      <c r="B23" s="49"/>
      <c r="C23" s="49"/>
      <c r="D23" s="49"/>
      <c r="E23" s="50"/>
      <c r="F23" s="56"/>
      <c r="G23" s="49"/>
      <c r="H23" s="51"/>
      <c r="I23" s="29"/>
      <c r="J23" s="63"/>
    </row>
    <row r="24" spans="1:10" s="2" customFormat="1" ht="12.75">
      <c r="A24" s="16" t="s">
        <v>47</v>
      </c>
      <c r="B24" s="52">
        <v>97</v>
      </c>
      <c r="C24" s="52" t="s">
        <v>9</v>
      </c>
      <c r="D24" s="52">
        <v>5.875</v>
      </c>
      <c r="E24" s="53">
        <v>0.07091</v>
      </c>
      <c r="F24" s="54">
        <v>397433</v>
      </c>
      <c r="G24" s="52" t="s">
        <v>48</v>
      </c>
      <c r="H24" s="55" t="s">
        <v>49</v>
      </c>
      <c r="I24" s="30">
        <f>Pro7!C20</f>
        <v>0.037250390206530405</v>
      </c>
      <c r="J24" s="63">
        <f>Pro7!C20</f>
        <v>0.037250390206530405</v>
      </c>
    </row>
    <row r="25" spans="1:10" s="2" customFormat="1" ht="12.75">
      <c r="A25" s="17" t="s">
        <v>50</v>
      </c>
      <c r="B25" s="52"/>
      <c r="C25" s="52"/>
      <c r="D25" s="52"/>
      <c r="E25" s="53"/>
      <c r="F25" s="54"/>
      <c r="G25" s="52"/>
      <c r="H25" s="55"/>
      <c r="I25" s="31"/>
      <c r="J25" s="63"/>
    </row>
    <row r="26" spans="1:10" s="2" customFormat="1" ht="12.75">
      <c r="A26" s="14" t="s">
        <v>51</v>
      </c>
      <c r="B26" s="49">
        <v>104.75</v>
      </c>
      <c r="C26" s="49" t="s">
        <v>9</v>
      </c>
      <c r="D26" s="49">
        <v>8.5</v>
      </c>
      <c r="E26" s="50">
        <v>0.06889</v>
      </c>
      <c r="F26" s="56">
        <v>50400</v>
      </c>
      <c r="G26" s="49" t="s">
        <v>52</v>
      </c>
      <c r="H26" s="51" t="s">
        <v>53</v>
      </c>
      <c r="I26" s="32">
        <f>Alcatel!C20</f>
        <v>0.008826284505436079</v>
      </c>
      <c r="J26" s="63">
        <f>Alcatel!C20</f>
        <v>0.008826284505436079</v>
      </c>
    </row>
    <row r="27" spans="1:10" s="2" customFormat="1" ht="12.75">
      <c r="A27" s="15" t="s">
        <v>54</v>
      </c>
      <c r="B27" s="49"/>
      <c r="C27" s="49"/>
      <c r="D27" s="49"/>
      <c r="E27" s="50"/>
      <c r="F27" s="56"/>
      <c r="G27" s="49"/>
      <c r="H27" s="51"/>
      <c r="I27" s="29"/>
      <c r="J27" s="63"/>
    </row>
    <row r="28" spans="1:10" s="2" customFormat="1" ht="12.75">
      <c r="A28" s="16" t="s">
        <v>55</v>
      </c>
      <c r="B28" s="52">
        <v>106.35</v>
      </c>
      <c r="C28" s="52" t="s">
        <v>9</v>
      </c>
      <c r="D28" s="52">
        <v>8</v>
      </c>
      <c r="E28" s="53">
        <v>0.04954</v>
      </c>
      <c r="F28" s="54">
        <v>38967</v>
      </c>
      <c r="G28" s="52" t="s">
        <v>52</v>
      </c>
      <c r="H28" s="55" t="s">
        <v>56</v>
      </c>
      <c r="I28" s="30">
        <f>Kamps!C20</f>
        <v>0.0026617162382352143</v>
      </c>
      <c r="J28" s="63">
        <f>Kamps!C20</f>
        <v>0.0026617162382352143</v>
      </c>
    </row>
    <row r="29" spans="1:10" s="2" customFormat="1" ht="12.75">
      <c r="A29" s="17" t="s">
        <v>57</v>
      </c>
      <c r="B29" s="52"/>
      <c r="C29" s="52"/>
      <c r="D29" s="52"/>
      <c r="E29" s="53"/>
      <c r="F29" s="54"/>
      <c r="G29" s="52"/>
      <c r="H29" s="55"/>
      <c r="I29" s="31"/>
      <c r="J29" s="63"/>
    </row>
    <row r="30" spans="1:10" s="2" customFormat="1" ht="12.75">
      <c r="A30" s="14" t="s">
        <v>58</v>
      </c>
      <c r="B30" s="49">
        <v>107.45</v>
      </c>
      <c r="C30" s="49" t="s">
        <v>9</v>
      </c>
      <c r="D30" s="49">
        <v>5.25</v>
      </c>
      <c r="E30" s="50">
        <v>0.02695</v>
      </c>
      <c r="F30" s="56">
        <v>25867</v>
      </c>
      <c r="G30" s="49" t="s">
        <v>59</v>
      </c>
      <c r="H30" s="51" t="s">
        <v>60</v>
      </c>
      <c r="I30" s="48" t="s">
        <v>79</v>
      </c>
      <c r="J30" s="63"/>
    </row>
    <row r="31" spans="1:10" s="2" customFormat="1" ht="13.5" thickBot="1">
      <c r="A31" s="18" t="s">
        <v>61</v>
      </c>
      <c r="B31" s="59"/>
      <c r="C31" s="59"/>
      <c r="D31" s="59"/>
      <c r="E31" s="61"/>
      <c r="F31" s="58"/>
      <c r="G31" s="59"/>
      <c r="H31" s="60"/>
      <c r="I31" s="33"/>
      <c r="J31" s="64"/>
    </row>
  </sheetData>
  <mergeCells count="91">
    <mergeCell ref="F30:F31"/>
    <mergeCell ref="G30:G31"/>
    <mergeCell ref="H30:H31"/>
    <mergeCell ref="B30:B31"/>
    <mergeCell ref="C30:C31"/>
    <mergeCell ref="D30:D31"/>
    <mergeCell ref="E30:E31"/>
    <mergeCell ref="F26:F27"/>
    <mergeCell ref="G26:G27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2:F23"/>
    <mergeCell ref="G22:G23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18:F19"/>
    <mergeCell ref="G18:G19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4:F15"/>
    <mergeCell ref="G14:G15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D14:D15"/>
    <mergeCell ref="E14:E15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6:F7"/>
    <mergeCell ref="G6:G7"/>
    <mergeCell ref="H6:H7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</mergeCells>
  <hyperlinks>
    <hyperlink ref="D1" r:id="rId1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Coupon+up"/>
    <hyperlink ref="E1" r:id="rId2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BND_IsmaYieldToMaturity+up"/>
    <hyperlink ref="F1" r:id="rId3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STD_VolumeAvg30TD+up"/>
    <hyperlink ref="G1" r:id="rId4" display="http://informer2.comdirect.de/de/bonds/selector/main.html?1Country=EMU&amp;1Emittent=corporate,industrial&amp;Currency=18&amp;CurrencyButton=All&amp;Datenbasis=germany&amp;Extra1Country=BE+DE+FI+FR+GR+IE+IT+LU+NL+AT+PT+ES&amp;List=true&amp;MaturityDateEnd=%3e30&amp;MaturityDateStart=0&amp;RatingMax=All&amp;RatingMin=All&amp;RatingMod=0&amp;Rendite1YMax=50&amp;Rendite1YMin=-50&amp;Volumen=0&amp;actualCountry=1&amp;actualEmittent=1&amp;actualFree=1&amp;dropDown1Free=%3e%3d&amp;tbl=USR_MoodysIssueRating+down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7"/>
  <headerFooter alignWithMargins="0">
    <oddHeader>&amp;CAufgabe 5.3</oddHeader>
    <oddFooter xml:space="preserve">&amp;L&amp;D &amp;T </oddFooter>
  </headerFooter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L20"/>
  <sheetViews>
    <sheetView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2" max="7" width="10.140625" style="0" bestFit="1" customWidth="1"/>
  </cols>
  <sheetData>
    <row r="1" ht="23.25">
      <c r="A1" s="34" t="str">
        <f>TOTAL!A18</f>
        <v> METRO AG Medium Term Notes v.03(08)</v>
      </c>
    </row>
    <row r="3" spans="1:7" ht="12.75">
      <c r="A3" s="23"/>
      <c r="B3" s="19">
        <v>37790</v>
      </c>
      <c r="C3" s="19">
        <v>38030</v>
      </c>
      <c r="D3" s="19">
        <f>C3+365+1</f>
        <v>38396</v>
      </c>
      <c r="E3" s="19">
        <f>D3+365</f>
        <v>38761</v>
      </c>
      <c r="F3" s="19">
        <f>E3+365</f>
        <v>39126</v>
      </c>
      <c r="G3" s="19">
        <f>F3+365</f>
        <v>39491</v>
      </c>
    </row>
    <row r="4" spans="1:7" ht="12.75">
      <c r="A4" s="43" t="s">
        <v>68</v>
      </c>
      <c r="B4" s="22">
        <f>-TOTAL!B18</f>
        <v>-106</v>
      </c>
      <c r="C4" s="22">
        <v>5.125</v>
      </c>
      <c r="D4" s="22">
        <v>5.125</v>
      </c>
      <c r="E4" s="22">
        <v>5.125</v>
      </c>
      <c r="F4" s="22">
        <v>5.125</v>
      </c>
      <c r="G4" s="22">
        <f>5.125+100</f>
        <v>105.125</v>
      </c>
    </row>
    <row r="5" spans="1:7" ht="12.75">
      <c r="A5" s="43" t="s">
        <v>71</v>
      </c>
      <c r="B5" s="24"/>
      <c r="C5" s="24">
        <f>DAYS360(B3,C3,TRUE)</f>
        <v>235</v>
      </c>
      <c r="D5" s="24">
        <f>DAYS360($B$3,D3,TRUE)</f>
        <v>595</v>
      </c>
      <c r="E5" s="24">
        <f>DAYS360($B$3,E3,TRUE)</f>
        <v>955</v>
      </c>
      <c r="F5" s="24">
        <f>DAYS360($B$3,F3,TRUE)</f>
        <v>1315</v>
      </c>
      <c r="G5" s="24">
        <f>DAYS360($B$3,G3,TRUE)</f>
        <v>1675</v>
      </c>
    </row>
    <row r="6" spans="1:12" ht="12.75">
      <c r="A6" s="43" t="s">
        <v>67</v>
      </c>
      <c r="B6" s="45">
        <v>0</v>
      </c>
      <c r="C6" s="45">
        <v>0.0026</v>
      </c>
      <c r="D6" s="45">
        <v>0.0062</v>
      </c>
      <c r="E6" s="45">
        <v>0.0099</v>
      </c>
      <c r="F6" s="45">
        <v>0.0157</v>
      </c>
      <c r="G6" s="45">
        <v>0.0216</v>
      </c>
      <c r="H6" s="47"/>
      <c r="I6" s="47"/>
      <c r="J6" s="47"/>
      <c r="K6" s="47"/>
      <c r="L6" s="47"/>
    </row>
    <row r="7" spans="1:12" ht="12.75">
      <c r="A7" s="43" t="s">
        <v>65</v>
      </c>
      <c r="B7" s="24">
        <f aca="true" t="shared" si="0" ref="B7:G7">(1-B6)*B4+(B6*$B$12*B4)</f>
        <v>-106</v>
      </c>
      <c r="C7" s="24">
        <f t="shared" si="0"/>
        <v>5.1156725</v>
      </c>
      <c r="D7" s="24">
        <f t="shared" si="0"/>
        <v>5.1027575</v>
      </c>
      <c r="E7" s="24">
        <f t="shared" si="0"/>
        <v>5.089483749999999</v>
      </c>
      <c r="F7" s="24">
        <f t="shared" si="0"/>
        <v>5.068676249999999</v>
      </c>
      <c r="G7" s="24">
        <f t="shared" si="0"/>
        <v>103.53551000000002</v>
      </c>
      <c r="H7" s="24"/>
      <c r="I7" s="24"/>
      <c r="J7" s="24"/>
      <c r="K7" s="24"/>
      <c r="L7" s="24"/>
    </row>
    <row r="8" spans="1:7" ht="12.75">
      <c r="A8" s="43" t="s">
        <v>63</v>
      </c>
      <c r="B8" s="21">
        <f aca="true" t="shared" si="1" ref="B8:G8">B7/(1+$B$10)^(B5/360)</f>
        <v>-106</v>
      </c>
      <c r="C8" s="21">
        <f t="shared" si="1"/>
        <v>4.993619508062542</v>
      </c>
      <c r="D8" s="21">
        <f t="shared" si="1"/>
        <v>4.800119119063975</v>
      </c>
      <c r="E8" s="21">
        <f t="shared" si="1"/>
        <v>4.6137620038371425</v>
      </c>
      <c r="F8" s="21">
        <f t="shared" si="1"/>
        <v>4.428028214902103</v>
      </c>
      <c r="G8" s="21">
        <f t="shared" si="1"/>
        <v>87.16447624769454</v>
      </c>
    </row>
    <row r="9" spans="1:2" ht="12.75">
      <c r="A9" s="43" t="s">
        <v>64</v>
      </c>
      <c r="B9" s="20">
        <f>SUM(B8:G8)</f>
        <v>5.093560289992638E-06</v>
      </c>
    </row>
    <row r="10" spans="1:2" ht="12.75">
      <c r="A10" s="43" t="s">
        <v>62</v>
      </c>
      <c r="B10" s="27">
        <v>0.037685215482325556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G5</f>
        <v>1675</v>
      </c>
    </row>
    <row r="17" spans="1:2" ht="12.75">
      <c r="A17" t="s">
        <v>74</v>
      </c>
      <c r="B17">
        <f>B16/360</f>
        <v>4.652777777777778</v>
      </c>
    </row>
    <row r="18" spans="1:2" ht="12.75">
      <c r="A18" t="s">
        <v>75</v>
      </c>
      <c r="B18">
        <f>0.0004*B17^4-0.0096*B17^3+0.0798*B17^2-0.0038*B17+1.8686</f>
        <v>2.798958094722246</v>
      </c>
    </row>
    <row r="20" spans="1:3" ht="12.75">
      <c r="A20" s="23" t="s">
        <v>76</v>
      </c>
      <c r="C20" s="26">
        <f>B10-B18/100</f>
        <v>0.009695634535103095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9" width="10.140625" style="0" bestFit="1" customWidth="1"/>
  </cols>
  <sheetData>
    <row r="1" ht="23.25">
      <c r="A1" s="34" t="str">
        <f>TOTAL!A20</f>
        <v> Renault S.A. EO-Medium-Term Notes 2..</v>
      </c>
    </row>
    <row r="3" spans="1:9" ht="12.75">
      <c r="A3" s="23"/>
      <c r="B3" s="19">
        <v>37790</v>
      </c>
      <c r="C3" s="19">
        <v>37798</v>
      </c>
      <c r="D3" s="19">
        <f>C3+365+1</f>
        <v>38164</v>
      </c>
      <c r="E3" s="19">
        <f>D3+365</f>
        <v>38529</v>
      </c>
      <c r="F3" s="19">
        <f>E3+365</f>
        <v>38894</v>
      </c>
      <c r="G3" s="19">
        <f>F3+365</f>
        <v>39259</v>
      </c>
      <c r="H3" s="19">
        <f>G3+365+1</f>
        <v>39625</v>
      </c>
      <c r="I3" s="19">
        <f>H3+365</f>
        <v>39990</v>
      </c>
    </row>
    <row r="4" spans="1:9" ht="12.75">
      <c r="A4" s="43" t="s">
        <v>68</v>
      </c>
      <c r="B4" s="22">
        <f>-TOTAL!B20</f>
        <v>-111</v>
      </c>
      <c r="C4" s="22">
        <v>6.125</v>
      </c>
      <c r="D4" s="22">
        <v>6.125</v>
      </c>
      <c r="E4" s="22">
        <v>6.125</v>
      </c>
      <c r="F4" s="22">
        <v>6.125</v>
      </c>
      <c r="G4" s="22">
        <v>6.125</v>
      </c>
      <c r="H4" s="22">
        <v>106.125</v>
      </c>
      <c r="I4" s="22">
        <v>6</v>
      </c>
    </row>
    <row r="5" spans="1:9" ht="12.75">
      <c r="A5" s="43" t="s">
        <v>71</v>
      </c>
      <c r="B5" s="24"/>
      <c r="C5" s="24">
        <f>DAYS360(B3,C3,TRUE)</f>
        <v>8</v>
      </c>
      <c r="D5" s="24">
        <f aca="true" t="shared" si="0" ref="D5:I5">DAYS360($B$3,D3,TRUE)</f>
        <v>368</v>
      </c>
      <c r="E5" s="24">
        <f t="shared" si="0"/>
        <v>728</v>
      </c>
      <c r="F5" s="24">
        <f t="shared" si="0"/>
        <v>1088</v>
      </c>
      <c r="G5" s="24">
        <f t="shared" si="0"/>
        <v>1448</v>
      </c>
      <c r="H5" s="24">
        <f t="shared" si="0"/>
        <v>1808</v>
      </c>
      <c r="I5" s="24">
        <f t="shared" si="0"/>
        <v>2168</v>
      </c>
    </row>
    <row r="6" spans="1:12" ht="12.75">
      <c r="A6" s="43" t="s">
        <v>67</v>
      </c>
      <c r="B6" s="45">
        <v>0</v>
      </c>
      <c r="C6" s="45">
        <v>0.0027</v>
      </c>
      <c r="D6" s="45">
        <v>0.0076</v>
      </c>
      <c r="E6" s="45">
        <v>0.0132</v>
      </c>
      <c r="F6" s="45">
        <v>0.0206</v>
      </c>
      <c r="G6" s="45">
        <v>0.0283</v>
      </c>
      <c r="H6" s="45">
        <v>0.0356</v>
      </c>
      <c r="I6" s="45">
        <v>0.0415</v>
      </c>
      <c r="J6" s="45"/>
      <c r="K6" s="47"/>
      <c r="L6" s="47"/>
    </row>
    <row r="7" spans="1:12" ht="12.75">
      <c r="A7" s="43" t="s">
        <v>65</v>
      </c>
      <c r="B7" s="24">
        <f>(1-B6)*B4+(B6*$B$12*B4)</f>
        <v>-111</v>
      </c>
      <c r="C7" s="24">
        <f aca="true" t="shared" si="1" ref="C7:I7">(1-C6)*C4+(C6*$B$12*C4)</f>
        <v>6.11342375</v>
      </c>
      <c r="D7" s="24">
        <f t="shared" si="1"/>
        <v>6.092415</v>
      </c>
      <c r="E7" s="24">
        <f t="shared" si="1"/>
        <v>6.068405</v>
      </c>
      <c r="F7" s="24">
        <f t="shared" si="1"/>
        <v>6.0366775</v>
      </c>
      <c r="G7" s="24">
        <f t="shared" si="1"/>
        <v>6.00366375</v>
      </c>
      <c r="H7" s="24">
        <f t="shared" si="1"/>
        <v>103.480365</v>
      </c>
      <c r="I7" s="24">
        <f t="shared" si="1"/>
        <v>5.8257</v>
      </c>
      <c r="J7" s="24"/>
      <c r="K7" s="24"/>
      <c r="L7" s="24"/>
    </row>
    <row r="8" spans="1:9" ht="12.75">
      <c r="A8" s="43" t="s">
        <v>63</v>
      </c>
      <c r="B8" s="21">
        <f aca="true" t="shared" si="2" ref="B8:I8">B7/(1+$B$10)^(B5/360)</f>
        <v>-111</v>
      </c>
      <c r="C8" s="21">
        <f t="shared" si="2"/>
        <v>6.106269496323112</v>
      </c>
      <c r="D8" s="21">
        <f t="shared" si="2"/>
        <v>5.772939434962182</v>
      </c>
      <c r="E8" s="21">
        <f t="shared" si="2"/>
        <v>5.455042452169273</v>
      </c>
      <c r="F8" s="21">
        <f t="shared" si="2"/>
        <v>5.147988959232659</v>
      </c>
      <c r="G8" s="21">
        <f t="shared" si="2"/>
        <v>4.857044103358713</v>
      </c>
      <c r="H8" s="21">
        <f t="shared" si="2"/>
        <v>79.41996531367894</v>
      </c>
      <c r="I8" s="21">
        <f t="shared" si="2"/>
        <v>4.24166057184357</v>
      </c>
    </row>
    <row r="9" spans="1:2" ht="12.75">
      <c r="A9" s="43" t="s">
        <v>64</v>
      </c>
      <c r="B9" s="20">
        <f>SUM(B8:I8)</f>
        <v>0.000910331568451106</v>
      </c>
    </row>
    <row r="10" spans="1:2" ht="12.75">
      <c r="A10" s="43" t="s">
        <v>62</v>
      </c>
      <c r="B10" s="27">
        <v>0.05410517474444785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I5</f>
        <v>2168</v>
      </c>
    </row>
    <row r="17" spans="1:2" ht="12.75">
      <c r="A17" t="s">
        <v>74</v>
      </c>
      <c r="B17">
        <f>B16/360</f>
        <v>6.022222222222222</v>
      </c>
    </row>
    <row r="18" spans="1:2" ht="12.75">
      <c r="A18" t="s">
        <v>75</v>
      </c>
      <c r="B18">
        <f>0.0004*B17^4-0.0096*B17^3+0.0798*B17^2-0.0038*B17+1.8686</f>
        <v>3.1692322963938424</v>
      </c>
    </row>
    <row r="20" spans="1:3" ht="12.75">
      <c r="A20" s="23" t="s">
        <v>76</v>
      </c>
      <c r="C20" s="26">
        <f>B10-B18/100</f>
        <v>0.022412851780509425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M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12" width="10.140625" style="0" bestFit="1" customWidth="1"/>
  </cols>
  <sheetData>
    <row r="1" ht="23.25">
      <c r="A1" s="34" t="str">
        <f>TOTAL!A22</f>
        <v> France Télécom EO-Medium-Term Notes..</v>
      </c>
    </row>
    <row r="3" spans="1:12" ht="12.75">
      <c r="A3" s="23"/>
      <c r="B3" s="19">
        <v>37790</v>
      </c>
      <c r="C3" s="19">
        <v>38014</v>
      </c>
      <c r="D3" s="19">
        <f>C3+365+1</f>
        <v>38380</v>
      </c>
      <c r="E3" s="19">
        <f>D3+365</f>
        <v>38745</v>
      </c>
      <c r="F3" s="19">
        <f>E3+365</f>
        <v>39110</v>
      </c>
      <c r="G3" s="19">
        <f>F3+365</f>
        <v>39475</v>
      </c>
      <c r="H3" s="19">
        <f>G3+365+1</f>
        <v>39841</v>
      </c>
      <c r="I3" s="19">
        <f>H3+365</f>
        <v>40206</v>
      </c>
      <c r="J3" s="19">
        <f>I3+365</f>
        <v>40571</v>
      </c>
      <c r="K3" s="19">
        <f>J3+365</f>
        <v>40936</v>
      </c>
      <c r="L3" s="19">
        <f>K3+365+1</f>
        <v>41302</v>
      </c>
    </row>
    <row r="4" spans="1:12" ht="12.75">
      <c r="A4" s="43" t="s">
        <v>68</v>
      </c>
      <c r="B4" s="22">
        <f>-TOTAL!B22</f>
        <v>-119</v>
      </c>
      <c r="C4" s="22">
        <v>7.25</v>
      </c>
      <c r="D4" s="22">
        <v>7.25</v>
      </c>
      <c r="E4" s="22">
        <v>7.25</v>
      </c>
      <c r="F4" s="22">
        <v>7.25</v>
      </c>
      <c r="G4" s="22">
        <v>7.25</v>
      </c>
      <c r="H4" s="22">
        <v>7.25</v>
      </c>
      <c r="I4" s="22">
        <v>7.25</v>
      </c>
      <c r="J4" s="22">
        <v>7.25</v>
      </c>
      <c r="K4" s="22">
        <v>7.25</v>
      </c>
      <c r="L4" s="22">
        <v>107.25</v>
      </c>
    </row>
    <row r="5" spans="1:12" ht="12.75">
      <c r="A5" s="43" t="s">
        <v>71</v>
      </c>
      <c r="B5" s="24"/>
      <c r="C5" s="24">
        <f>DAYS360(B3,C3,TRUE)</f>
        <v>220</v>
      </c>
      <c r="D5" s="24">
        <f aca="true" t="shared" si="0" ref="D5:L5">DAYS360($B$3,D3,TRUE)</f>
        <v>580</v>
      </c>
      <c r="E5" s="24">
        <f t="shared" si="0"/>
        <v>940</v>
      </c>
      <c r="F5" s="24">
        <f t="shared" si="0"/>
        <v>1300</v>
      </c>
      <c r="G5" s="24">
        <f t="shared" si="0"/>
        <v>1660</v>
      </c>
      <c r="H5" s="24">
        <f t="shared" si="0"/>
        <v>2020</v>
      </c>
      <c r="I5" s="24">
        <f t="shared" si="0"/>
        <v>2380</v>
      </c>
      <c r="J5" s="24">
        <f t="shared" si="0"/>
        <v>2740</v>
      </c>
      <c r="K5" s="24">
        <f t="shared" si="0"/>
        <v>3100</v>
      </c>
      <c r="L5" s="24">
        <f t="shared" si="0"/>
        <v>3460</v>
      </c>
    </row>
    <row r="6" spans="1:13" ht="12.75">
      <c r="A6" s="43" t="s">
        <v>67</v>
      </c>
      <c r="B6" s="45">
        <v>0</v>
      </c>
      <c r="C6" s="45">
        <v>0.0027</v>
      </c>
      <c r="D6" s="45">
        <v>0.0076</v>
      </c>
      <c r="E6" s="45">
        <v>0.0132</v>
      </c>
      <c r="F6" s="45">
        <v>0.0206</v>
      </c>
      <c r="G6" s="45">
        <v>0.0283</v>
      </c>
      <c r="H6" s="45">
        <v>0.0356</v>
      </c>
      <c r="I6" s="45">
        <v>0.0415</v>
      </c>
      <c r="J6" s="45">
        <v>0.0476</v>
      </c>
      <c r="K6" s="45">
        <v>0.0527</v>
      </c>
      <c r="L6" s="45">
        <v>0.0582</v>
      </c>
      <c r="M6" s="24"/>
    </row>
    <row r="7" spans="1:12" ht="12.75">
      <c r="A7" s="43" t="s">
        <v>65</v>
      </c>
      <c r="B7" s="24">
        <f>(1-B6)*B4+(B6*$B$12*B4)</f>
        <v>-119</v>
      </c>
      <c r="C7" s="24">
        <f aca="true" t="shared" si="1" ref="C7:L7">(1-C6)*C4+(C6*$B$12*C4)</f>
        <v>7.236297499999999</v>
      </c>
      <c r="D7" s="24">
        <f t="shared" si="1"/>
        <v>7.21143</v>
      </c>
      <c r="E7" s="24">
        <f t="shared" si="1"/>
        <v>7.18301</v>
      </c>
      <c r="F7" s="24">
        <f t="shared" si="1"/>
        <v>7.145455</v>
      </c>
      <c r="G7" s="24">
        <f t="shared" si="1"/>
        <v>7.106377500000001</v>
      </c>
      <c r="H7" s="24">
        <f t="shared" si="1"/>
        <v>7.06933</v>
      </c>
      <c r="I7" s="24">
        <f t="shared" si="1"/>
        <v>7.0393875</v>
      </c>
      <c r="J7" s="24">
        <f t="shared" si="1"/>
        <v>7.008430000000001</v>
      </c>
      <c r="K7" s="24">
        <f t="shared" si="1"/>
        <v>6.982547500000001</v>
      </c>
      <c r="L7" s="24">
        <f t="shared" si="1"/>
        <v>102.880635</v>
      </c>
    </row>
    <row r="8" spans="1:12" ht="12.75">
      <c r="A8" s="43" t="s">
        <v>63</v>
      </c>
      <c r="B8" s="21">
        <f aca="true" t="shared" si="2" ref="B8:L8">B7/(1+$B$10)^(B5/360)</f>
        <v>-119</v>
      </c>
      <c r="C8" s="21">
        <f t="shared" si="2"/>
        <v>7.039139753167082</v>
      </c>
      <c r="D8" s="21">
        <f t="shared" si="2"/>
        <v>6.704916863162858</v>
      </c>
      <c r="E8" s="21">
        <f t="shared" si="2"/>
        <v>6.38333014564194</v>
      </c>
      <c r="F8" s="21">
        <f t="shared" si="2"/>
        <v>6.069313276953087</v>
      </c>
      <c r="G8" s="21">
        <f t="shared" si="2"/>
        <v>5.769348467771205</v>
      </c>
      <c r="H8" s="21">
        <f t="shared" si="2"/>
        <v>5.48561827043387</v>
      </c>
      <c r="I8" s="21">
        <f t="shared" si="2"/>
        <v>5.220967995783992</v>
      </c>
      <c r="J8" s="21">
        <f t="shared" si="2"/>
        <v>4.968276172311077</v>
      </c>
      <c r="K8" s="21">
        <f t="shared" si="2"/>
        <v>4.7311609048758925</v>
      </c>
      <c r="L8" s="21">
        <f t="shared" si="2"/>
        <v>66.62792474683245</v>
      </c>
    </row>
    <row r="9" spans="1:2" ht="12.75">
      <c r="A9" s="43" t="s">
        <v>64</v>
      </c>
      <c r="B9" s="20">
        <f>SUM(B8:L8)</f>
        <v>-3.403066543228306E-06</v>
      </c>
    </row>
    <row r="10" spans="1:2" ht="12.75">
      <c r="A10" s="43" t="s">
        <v>62</v>
      </c>
      <c r="B10" s="27">
        <v>0.04623963696163528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L5</f>
        <v>3460</v>
      </c>
    </row>
    <row r="17" spans="1:2" ht="12.75">
      <c r="A17" t="s">
        <v>74</v>
      </c>
      <c r="B17">
        <f>B16/360</f>
        <v>9.61111111111111</v>
      </c>
    </row>
    <row r="18" spans="1:2" ht="12.75">
      <c r="A18" t="s">
        <v>75</v>
      </c>
      <c r="B18">
        <f>0.0004*B17^4-0.0096*B17^3+0.0798*B17^2-0.0038*B17+1.8686</f>
        <v>4.093630890870296</v>
      </c>
    </row>
    <row r="20" spans="1:3" ht="12.75">
      <c r="A20" s="23" t="s">
        <v>76</v>
      </c>
      <c r="C20" s="26">
        <f>B10-B18/100</f>
        <v>0.005303328052932321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L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5" width="10.7109375" style="0" bestFit="1" customWidth="1"/>
  </cols>
  <sheetData>
    <row r="1" ht="23.25">
      <c r="A1" s="34" t="str">
        <f>TOTAL!A24</f>
        <v> PROSIEBENSAT.1 MEDIA AG ANLEIHE V.2..</v>
      </c>
    </row>
    <row r="3" spans="1:5" ht="12.75">
      <c r="A3" s="23"/>
      <c r="B3" s="19">
        <v>37790</v>
      </c>
      <c r="C3" s="19">
        <v>38074</v>
      </c>
      <c r="D3" s="19">
        <f>C3+365</f>
        <v>38439</v>
      </c>
      <c r="E3" s="19">
        <f>D3+365</f>
        <v>38804</v>
      </c>
    </row>
    <row r="4" spans="1:5" ht="12.75">
      <c r="A4" s="43" t="s">
        <v>68</v>
      </c>
      <c r="B4" s="22">
        <f>-TOTAL!B24</f>
        <v>-97</v>
      </c>
      <c r="C4" s="22">
        <v>5.875</v>
      </c>
      <c r="D4" s="22">
        <v>5.875</v>
      </c>
      <c r="E4" s="22">
        <v>105.875</v>
      </c>
    </row>
    <row r="5" spans="1:5" ht="12.75">
      <c r="A5" s="43" t="s">
        <v>71</v>
      </c>
      <c r="B5" s="24"/>
      <c r="C5" s="24">
        <f>DAYS360(B3,C3,TRUE)</f>
        <v>280</v>
      </c>
      <c r="D5" s="24">
        <f>DAYS360($B$3,D3,TRUE)</f>
        <v>640</v>
      </c>
      <c r="E5" s="24">
        <f>DAYS360($B$3,E3,TRUE)</f>
        <v>1000</v>
      </c>
    </row>
    <row r="6" spans="1:12" ht="12.75">
      <c r="A6" s="43" t="s">
        <v>67</v>
      </c>
      <c r="B6" s="45">
        <v>0</v>
      </c>
      <c r="C6" s="45">
        <v>0.0112</v>
      </c>
      <c r="D6" s="45">
        <v>0.0333</v>
      </c>
      <c r="E6" s="45">
        <v>0.0596</v>
      </c>
      <c r="F6" s="47"/>
      <c r="G6" s="47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-97</v>
      </c>
      <c r="C7" s="24">
        <f>(1-C6)*C4+(C6*$B$12*C4)</f>
        <v>5.828939999999999</v>
      </c>
      <c r="D7" s="24">
        <f>(1-D6)*D4+(D6*$B$12*D4)</f>
        <v>5.73805375</v>
      </c>
      <c r="E7" s="24">
        <f>(1-E6)*E4+(E6*$B$12*E4)</f>
        <v>101.45789500000001</v>
      </c>
      <c r="F7" s="24"/>
      <c r="G7" s="24"/>
      <c r="H7" s="24"/>
      <c r="I7" s="24"/>
      <c r="J7" s="24"/>
      <c r="K7" s="24"/>
      <c r="L7" s="24"/>
    </row>
    <row r="8" spans="1:5" ht="12.75">
      <c r="A8" s="43" t="s">
        <v>63</v>
      </c>
      <c r="B8" s="21">
        <f>B7/(1+$B$10)^(B5/360)</f>
        <v>-97</v>
      </c>
      <c r="C8" s="21">
        <f>C7/(1+$B$10)^(C5/360)</f>
        <v>5.569977820206295</v>
      </c>
      <c r="D8" s="21">
        <f>D7/(1+$B$10)^(D5/360)</f>
        <v>5.171940055551534</v>
      </c>
      <c r="E8" s="21">
        <f>E7/(1+$B$10)^(E5/360)</f>
        <v>86.25806424969171</v>
      </c>
    </row>
    <row r="9" spans="1:2" ht="12.75">
      <c r="A9" s="43" t="s">
        <v>64</v>
      </c>
      <c r="B9" s="20">
        <f>SUM(B8:E8)</f>
        <v>-1.787455046553532E-05</v>
      </c>
    </row>
    <row r="10" spans="1:2" ht="12.75">
      <c r="A10" s="43" t="s">
        <v>62</v>
      </c>
      <c r="B10" s="27">
        <v>0.06016877856196403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1000</v>
      </c>
    </row>
    <row r="17" spans="1:2" ht="12.75">
      <c r="A17" t="s">
        <v>74</v>
      </c>
      <c r="B17">
        <f>B16/360</f>
        <v>2.7777777777777777</v>
      </c>
    </row>
    <row r="18" spans="1:2" ht="12.75">
      <c r="A18" t="s">
        <v>75</v>
      </c>
      <c r="B18">
        <f>0.0004*B17^4-0.0096*B17^3+0.0798*B17^2-0.0038*B17+1.8686</f>
        <v>2.2918388355433623</v>
      </c>
    </row>
    <row r="20" spans="1:3" ht="12.75">
      <c r="A20" s="23" t="s">
        <v>76</v>
      </c>
      <c r="C20" s="26">
        <f>B10-B18/100</f>
        <v>0.037250390206530405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L20"/>
  <sheetViews>
    <sheetView workbookViewId="0" topLeftCell="A1">
      <selection activeCell="F7" sqref="F7"/>
    </sheetView>
  </sheetViews>
  <sheetFormatPr defaultColWidth="11.421875" defaultRowHeight="12.75"/>
  <cols>
    <col min="1" max="1" width="19.7109375" style="0" bestFit="1" customWidth="1"/>
    <col min="2" max="6" width="10.140625" style="0" bestFit="1" customWidth="1"/>
  </cols>
  <sheetData>
    <row r="1" ht="23.25">
      <c r="A1" s="34" t="str">
        <f>TOTAL!A26</f>
        <v> Alcatel S.A. EO-Med.-Term Nts 2001(..</v>
      </c>
    </row>
    <row r="3" spans="1:6" ht="12.75">
      <c r="A3" s="23"/>
      <c r="B3" s="19">
        <v>37790</v>
      </c>
      <c r="C3" s="19">
        <v>37962</v>
      </c>
      <c r="D3" s="19">
        <f>C3+365+1</f>
        <v>38328</v>
      </c>
      <c r="E3" s="19">
        <f>D3+365</f>
        <v>38693</v>
      </c>
      <c r="F3" s="19">
        <f>E3+365</f>
        <v>39058</v>
      </c>
    </row>
    <row r="4" spans="1:6" ht="12.75">
      <c r="A4" s="43" t="s">
        <v>68</v>
      </c>
      <c r="B4" s="22">
        <f>-TOTAL!B26</f>
        <v>-104.75</v>
      </c>
      <c r="C4" s="22">
        <v>8.5</v>
      </c>
      <c r="D4" s="22">
        <v>8.5</v>
      </c>
      <c r="E4" s="22">
        <v>8.5</v>
      </c>
      <c r="F4" s="22">
        <v>108.5</v>
      </c>
    </row>
    <row r="5" spans="1:6" ht="12.75">
      <c r="A5" s="43" t="s">
        <v>71</v>
      </c>
      <c r="B5" s="24"/>
      <c r="C5" s="24">
        <f>DAYS360(B3,C3,TRUE)</f>
        <v>169</v>
      </c>
      <c r="D5" s="24">
        <f>DAYS360($B$3,D3,TRUE)</f>
        <v>529</v>
      </c>
      <c r="E5" s="24">
        <f>DAYS360($B$3,E3,TRUE)</f>
        <v>889</v>
      </c>
      <c r="F5" s="24">
        <f>DAYS360($B$3,F3,TRUE)</f>
        <v>1249</v>
      </c>
    </row>
    <row r="6" spans="1:12" ht="12.75">
      <c r="A6" s="43" t="s">
        <v>67</v>
      </c>
      <c r="B6" s="45">
        <v>0</v>
      </c>
      <c r="C6" s="45">
        <v>0.0538</v>
      </c>
      <c r="D6" s="45">
        <v>0.118</v>
      </c>
      <c r="E6" s="45">
        <v>0.1717</v>
      </c>
      <c r="F6" s="45">
        <v>0.2124</v>
      </c>
      <c r="G6" s="45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-104.75</v>
      </c>
      <c r="C7" s="24">
        <f>(1-C6)*C4+(C6*$B$12*C4)</f>
        <v>8.17989</v>
      </c>
      <c r="D7" s="24">
        <f>(1-D6)*D4+(D6*$B$12*D4)</f>
        <v>7.7979</v>
      </c>
      <c r="E7" s="24">
        <f>(1-E6)*E4+(E6*$B$12*E4)</f>
        <v>7.478385</v>
      </c>
      <c r="F7" s="24">
        <f>(1-F6)*F4+(F6*$B$12*F4)</f>
        <v>92.36822</v>
      </c>
      <c r="G7" s="24"/>
      <c r="H7" s="24"/>
      <c r="I7" s="24"/>
      <c r="J7" s="24"/>
      <c r="K7" s="24"/>
      <c r="L7" s="24"/>
    </row>
    <row r="8" spans="1:6" ht="12.75">
      <c r="A8" s="43" t="s">
        <v>63</v>
      </c>
      <c r="B8" s="21">
        <f>B7/(1+$B$10)^(B5/360)</f>
        <v>-104.75</v>
      </c>
      <c r="C8" s="21">
        <f>C7/(1+$B$10)^(C5/360)</f>
        <v>8.054124822264107</v>
      </c>
      <c r="D8" s="21">
        <f>D7/(1+$B$10)^(D5/360)</f>
        <v>7.428726347849015</v>
      </c>
      <c r="E8" s="21">
        <f>E7/(1+$B$10)^(E5/360)</f>
        <v>6.893032483968851</v>
      </c>
      <c r="F8" s="21">
        <f>F7/(1+$B$10)^(F5/360)</f>
        <v>82.37413868680571</v>
      </c>
    </row>
    <row r="9" spans="1:2" ht="12.75">
      <c r="A9" s="43" t="s">
        <v>64</v>
      </c>
      <c r="B9" s="20">
        <f>SUM(B8:F8)</f>
        <v>2.234088768204856E-05</v>
      </c>
    </row>
    <row r="10" spans="1:2" ht="12.75">
      <c r="A10" s="43" t="s">
        <v>62</v>
      </c>
      <c r="B10" s="27">
        <v>0.03355643074263339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F5</f>
        <v>1249</v>
      </c>
    </row>
    <row r="17" spans="1:2" ht="12.75">
      <c r="A17" t="s">
        <v>74</v>
      </c>
      <c r="B17">
        <f>B16/360</f>
        <v>3.4694444444444446</v>
      </c>
    </row>
    <row r="18" spans="1:2" ht="12.75">
      <c r="A18" t="s">
        <v>75</v>
      </c>
      <c r="B18">
        <f>0.0004*B17^4-0.0096*B17^3+0.0798*B17^2-0.0038*B17+1.8686</f>
        <v>2.473014623719731</v>
      </c>
    </row>
    <row r="20" spans="1:3" ht="12.75">
      <c r="A20" s="23" t="s">
        <v>76</v>
      </c>
      <c r="C20" s="26">
        <f>B10-B18/100</f>
        <v>0.008826284505436079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L20"/>
  <sheetViews>
    <sheetView workbookViewId="0" topLeftCell="A1">
      <selection activeCell="E7" sqref="E7"/>
    </sheetView>
  </sheetViews>
  <sheetFormatPr defaultColWidth="11.421875" defaultRowHeight="12.75"/>
  <cols>
    <col min="1" max="1" width="19.7109375" style="0" bestFit="1" customWidth="1"/>
    <col min="2" max="5" width="10.140625" style="0" bestFit="1" customWidth="1"/>
  </cols>
  <sheetData>
    <row r="1" ht="23.25">
      <c r="A1" s="34" t="str">
        <f>TOTAL!A28</f>
        <v> KAMPS AG ANLEIHE V.2000(2005)</v>
      </c>
    </row>
    <row r="3" spans="1:5" ht="12.75">
      <c r="A3" s="23"/>
      <c r="B3" s="19">
        <v>37790</v>
      </c>
      <c r="C3" s="19">
        <v>37890</v>
      </c>
      <c r="D3" s="19">
        <f>C3+365+1</f>
        <v>38256</v>
      </c>
      <c r="E3" s="19">
        <f>D3+365</f>
        <v>38621</v>
      </c>
    </row>
    <row r="4" spans="1:5" ht="12.75">
      <c r="A4" s="43" t="s">
        <v>68</v>
      </c>
      <c r="B4" s="22">
        <f>-TOTAL!B26</f>
        <v>-104.75</v>
      </c>
      <c r="C4" s="22">
        <v>8</v>
      </c>
      <c r="D4" s="22">
        <v>8</v>
      </c>
      <c r="E4" s="22">
        <v>108</v>
      </c>
    </row>
    <row r="5" spans="1:5" ht="12.75">
      <c r="A5" s="43" t="s">
        <v>71</v>
      </c>
      <c r="B5" s="24"/>
      <c r="C5" s="24">
        <f>DAYS360(B3,C3,TRUE)</f>
        <v>98</v>
      </c>
      <c r="D5" s="24">
        <f>DAYS360($B$3,D3,TRUE)</f>
        <v>458</v>
      </c>
      <c r="E5" s="24">
        <f>DAYS360($B$3,E3,TRUE)</f>
        <v>818</v>
      </c>
    </row>
    <row r="6" spans="1:12" ht="12.75">
      <c r="A6" s="43" t="s">
        <v>67</v>
      </c>
      <c r="B6" s="45">
        <v>0</v>
      </c>
      <c r="C6" s="45">
        <v>0.0538</v>
      </c>
      <c r="D6" s="45">
        <v>0.118</v>
      </c>
      <c r="E6" s="45">
        <v>0.1714</v>
      </c>
      <c r="F6" s="45"/>
      <c r="G6" s="47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-104.75</v>
      </c>
      <c r="C7" s="24">
        <f>(1-C6)*C4+(C6*$B$12*C4)</f>
        <v>7.698720000000001</v>
      </c>
      <c r="D7" s="24">
        <f>(1-D6)*D4+(D6*$B$12*D4)</f>
        <v>7.3392</v>
      </c>
      <c r="E7" s="24">
        <f>(1-E6)*E4+(E6*$B$12*E4)</f>
        <v>95.04216</v>
      </c>
      <c r="F7" s="24"/>
      <c r="G7" s="24"/>
      <c r="H7" s="24"/>
      <c r="I7" s="24"/>
      <c r="J7" s="24"/>
      <c r="K7" s="24"/>
      <c r="L7" s="24"/>
    </row>
    <row r="8" spans="1:5" ht="12.75">
      <c r="A8" s="43" t="s">
        <v>63</v>
      </c>
      <c r="B8" s="21">
        <f>B7/(1+$B$10)^(B5/360)</f>
        <v>-104.75</v>
      </c>
      <c r="C8" s="21">
        <f>C7/(1+$B$10)^(C5/360)</f>
        <v>7.648440255358935</v>
      </c>
      <c r="D8" s="21">
        <f>D7/(1+$B$10)^(D5/360)</f>
        <v>7.117863948471476</v>
      </c>
      <c r="E8" s="21">
        <f>E7/(1+$B$10)^(E5/360)</f>
        <v>89.98370349630001</v>
      </c>
    </row>
    <row r="9" spans="1:2" ht="12.75">
      <c r="A9" s="43" t="s">
        <v>64</v>
      </c>
      <c r="B9" s="20">
        <f>SUM(B8:E8)</f>
        <v>7.70013042483697E-06</v>
      </c>
    </row>
    <row r="10" spans="1:2" ht="12.75">
      <c r="A10" s="43" t="s">
        <v>62</v>
      </c>
      <c r="B10" s="27">
        <v>0.02436184583540409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818</v>
      </c>
    </row>
    <row r="17" spans="1:2" ht="12.75">
      <c r="A17" t="s">
        <v>74</v>
      </c>
      <c r="B17">
        <f>B16/360</f>
        <v>2.272222222222222</v>
      </c>
    </row>
    <row r="18" spans="1:2" ht="12.75">
      <c r="A18" t="s">
        <v>75</v>
      </c>
      <c r="B18">
        <f>0.0004*B17^4-0.0096*B17^3+0.0798*B17^2-0.0038*B17+1.8686</f>
        <v>2.1700129597168876</v>
      </c>
    </row>
    <row r="20" spans="1:3" ht="12.75">
      <c r="A20" s="23" t="s">
        <v>76</v>
      </c>
      <c r="C20" s="26">
        <f>B10-B18/100</f>
        <v>0.0026617162382352143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20"/>
  <sheetViews>
    <sheetView workbookViewId="0" topLeftCell="A1">
      <selection activeCell="B6" sqref="B6"/>
    </sheetView>
  </sheetViews>
  <sheetFormatPr defaultColWidth="11.421875" defaultRowHeight="12.75"/>
  <cols>
    <col min="1" max="1" width="23.8515625" style="0" customWidth="1"/>
    <col min="2" max="5" width="10.140625" style="0" bestFit="1" customWidth="1"/>
  </cols>
  <sheetData>
    <row r="1" ht="23.25">
      <c r="A1" s="34" t="str">
        <f>TOTAL!A2</f>
        <v> DFS DEUT. FLUGSICHERUNG GMBH MTN-AN..</v>
      </c>
    </row>
    <row r="3" spans="1:5" ht="12.75">
      <c r="A3" s="23"/>
      <c r="B3" s="19">
        <v>37790</v>
      </c>
      <c r="C3" s="19">
        <v>37995</v>
      </c>
      <c r="D3" s="19">
        <f>C3+366</f>
        <v>38361</v>
      </c>
      <c r="E3" s="19">
        <f>D3+365</f>
        <v>38726</v>
      </c>
    </row>
    <row r="4" spans="1:5" ht="12.75">
      <c r="A4" s="43" t="s">
        <v>68</v>
      </c>
      <c r="B4" s="21">
        <v>-108.55</v>
      </c>
      <c r="C4" s="21">
        <v>6.25</v>
      </c>
      <c r="D4" s="21">
        <v>6.25</v>
      </c>
      <c r="E4" s="21">
        <v>106.25</v>
      </c>
    </row>
    <row r="5" spans="1:5" ht="12.75">
      <c r="A5" s="43" t="s">
        <v>71</v>
      </c>
      <c r="B5" s="24"/>
      <c r="C5" s="24">
        <f>DAYS360(B3,C3,TRUE)</f>
        <v>201</v>
      </c>
      <c r="D5" s="24">
        <f>DAYS360($B$3,D3,TRUE)</f>
        <v>561</v>
      </c>
      <c r="E5" s="24">
        <f>DAYS360($B$3,E3,TRUE)</f>
        <v>921</v>
      </c>
    </row>
    <row r="6" spans="1:5" ht="12.75">
      <c r="A6" s="43" t="s">
        <v>77</v>
      </c>
      <c r="B6" s="45">
        <v>0</v>
      </c>
      <c r="C6" s="45">
        <v>0</v>
      </c>
      <c r="D6" s="45">
        <v>0</v>
      </c>
      <c r="E6" s="45">
        <v>0.0003</v>
      </c>
    </row>
    <row r="7" spans="1:5" ht="12.75">
      <c r="A7" s="43" t="s">
        <v>65</v>
      </c>
      <c r="B7" s="24">
        <f>(1-B6)*B4+(B6*$B$12*B4)</f>
        <v>-108.55</v>
      </c>
      <c r="C7" s="24">
        <f>(1-C6)*C4+(C6*$B$12*C4)</f>
        <v>6.25</v>
      </c>
      <c r="D7" s="24">
        <f>(1-D6)*D4+(D6*$B$12*D4)</f>
        <v>6.25</v>
      </c>
      <c r="E7" s="24">
        <f>(1-E6)*E4+(E6*$B$12*E4)</f>
        <v>106.2276875</v>
      </c>
    </row>
    <row r="8" spans="1:5" ht="12.75">
      <c r="A8" s="43" t="s">
        <v>63</v>
      </c>
      <c r="B8" s="21">
        <f>B7/(1+$B$10)^(B5/360)</f>
        <v>-108.55</v>
      </c>
      <c r="C8" s="21">
        <f>C7/(1+$B$10)^(C5/360)</f>
        <v>6.120821382153269</v>
      </c>
      <c r="D8" s="21">
        <f>D7/(1+$B$10)^(D5/360)</f>
        <v>5.896093643897533</v>
      </c>
      <c r="E8" s="21">
        <f>E7/(1+$B$10)^(E5/360)</f>
        <v>96.53321021698716</v>
      </c>
    </row>
    <row r="9" spans="1:2" ht="12.75">
      <c r="A9" s="43" t="s">
        <v>64</v>
      </c>
      <c r="B9" s="20">
        <f>SUM(B8:E8)</f>
        <v>0.00012524303795657943</v>
      </c>
    </row>
    <row r="10" spans="1:2" ht="12.75">
      <c r="A10" s="43" t="s">
        <v>62</v>
      </c>
      <c r="B10" s="25">
        <v>0.038114682674405875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921</v>
      </c>
    </row>
    <row r="17" spans="1:2" ht="12.75">
      <c r="A17" t="s">
        <v>74</v>
      </c>
      <c r="B17">
        <f>B16/360</f>
        <v>2.558333333333333</v>
      </c>
    </row>
    <row r="18" spans="1:2" ht="12.75">
      <c r="A18" t="s">
        <v>75</v>
      </c>
      <c r="B18">
        <f>0.0004*B17^4-0.0096*B17^3+0.0798*B17^2-0.0038*B17+1.8686</f>
        <v>2.2375631430574847</v>
      </c>
    </row>
    <row r="20" spans="1:3" ht="12.75">
      <c r="A20" s="23" t="s">
        <v>76</v>
      </c>
      <c r="C20" s="26">
        <f>B10-B18/100</f>
        <v>0.01573905124383103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20"/>
  <sheetViews>
    <sheetView workbookViewId="0" topLeftCell="A1">
      <selection activeCell="H7" sqref="H7"/>
    </sheetView>
  </sheetViews>
  <sheetFormatPr defaultColWidth="11.421875" defaultRowHeight="12.75"/>
  <cols>
    <col min="1" max="1" width="19.7109375" style="36" bestFit="1" customWidth="1"/>
    <col min="2" max="12" width="10.140625" style="36" bestFit="1" customWidth="1"/>
    <col min="13" max="16384" width="11.421875" style="36" customWidth="1"/>
  </cols>
  <sheetData>
    <row r="1" ht="23.25">
      <c r="A1" s="35" t="str">
        <f>TOTAL!A4</f>
        <v> ELF ACQUITAINE S.A. EO-BONDS 1999(0..</v>
      </c>
    </row>
    <row r="3" spans="1:12" ht="12.75">
      <c r="A3" s="44"/>
      <c r="B3" s="37">
        <v>37790</v>
      </c>
      <c r="C3" s="37">
        <v>38069</v>
      </c>
      <c r="D3" s="37">
        <f>C3+365</f>
        <v>38434</v>
      </c>
      <c r="E3" s="37">
        <f>D3+365</f>
        <v>38799</v>
      </c>
      <c r="F3" s="37">
        <f>E3+365</f>
        <v>39164</v>
      </c>
      <c r="G3" s="37">
        <f>F3+366</f>
        <v>39530</v>
      </c>
      <c r="H3" s="37">
        <f>G3+365</f>
        <v>39895</v>
      </c>
      <c r="I3" s="37"/>
      <c r="J3" s="37"/>
      <c r="K3" s="37"/>
      <c r="L3" s="37"/>
    </row>
    <row r="4" spans="1:12" ht="12.75">
      <c r="A4" s="44" t="s">
        <v>68</v>
      </c>
      <c r="B4" s="38">
        <v>-106</v>
      </c>
      <c r="C4" s="38">
        <v>4.5</v>
      </c>
      <c r="D4" s="38">
        <v>4.5</v>
      </c>
      <c r="E4" s="38">
        <v>4.5</v>
      </c>
      <c r="F4" s="38">
        <v>4.5</v>
      </c>
      <c r="G4" s="38">
        <v>4.5</v>
      </c>
      <c r="H4" s="38">
        <v>104.5</v>
      </c>
      <c r="I4" s="38"/>
      <c r="J4" s="38"/>
      <c r="K4" s="38"/>
      <c r="L4" s="38"/>
    </row>
    <row r="5" spans="1:12" ht="12.75">
      <c r="A5" s="44" t="s">
        <v>71</v>
      </c>
      <c r="B5" s="3"/>
      <c r="C5" s="3">
        <f>DAYS360(B3,C3,TRUE)</f>
        <v>275</v>
      </c>
      <c r="D5" s="3">
        <f>DAYS360($B$3,D3,TRUE)</f>
        <v>635</v>
      </c>
      <c r="E5" s="3">
        <f>DAYS360($B$3,E3,TRUE)</f>
        <v>995</v>
      </c>
      <c r="F5" s="3">
        <f>DAYS360($B$3,F3,TRUE)</f>
        <v>1355</v>
      </c>
      <c r="G5" s="3">
        <f>DAYS360($B$3,G3,TRUE)</f>
        <v>1715</v>
      </c>
      <c r="H5" s="3">
        <f>DAYS360($B$3,H3,TRUE)</f>
        <v>2075</v>
      </c>
      <c r="I5" s="3"/>
      <c r="J5" s="3"/>
      <c r="K5" s="3"/>
      <c r="L5" s="3"/>
    </row>
    <row r="6" spans="1:12" ht="12.75">
      <c r="A6" s="44" t="s">
        <v>67</v>
      </c>
      <c r="B6" s="46">
        <v>0</v>
      </c>
      <c r="C6" s="46">
        <v>0.0001</v>
      </c>
      <c r="D6" s="46">
        <v>0.0004</v>
      </c>
      <c r="E6" s="46">
        <v>0.0009</v>
      </c>
      <c r="F6" s="46">
        <v>0.0019</v>
      </c>
      <c r="G6" s="46">
        <v>0.0029</v>
      </c>
      <c r="H6" s="46">
        <v>0.004</v>
      </c>
      <c r="I6" s="3"/>
      <c r="J6" s="3"/>
      <c r="K6" s="3"/>
      <c r="L6" s="3"/>
    </row>
    <row r="7" spans="1:12" ht="12.75">
      <c r="A7" s="44" t="s">
        <v>65</v>
      </c>
      <c r="B7" s="24">
        <f>(1-B6)*B4+(B6*$B$12*B4)</f>
        <v>-106</v>
      </c>
      <c r="C7" s="24">
        <f aca="true" t="shared" si="0" ref="C7:H7">(1-C6)*C4+(C6*$B$12*C4)</f>
        <v>4.499685</v>
      </c>
      <c r="D7" s="24">
        <f t="shared" si="0"/>
        <v>4.498740000000001</v>
      </c>
      <c r="E7" s="24">
        <f t="shared" si="0"/>
        <v>4.497165</v>
      </c>
      <c r="F7" s="24">
        <f t="shared" si="0"/>
        <v>4.494015</v>
      </c>
      <c r="G7" s="24">
        <f t="shared" si="0"/>
        <v>4.490865</v>
      </c>
      <c r="H7" s="24">
        <f t="shared" si="0"/>
        <v>104.20739999999999</v>
      </c>
      <c r="I7" s="3"/>
      <c r="J7" s="3"/>
      <c r="K7" s="3"/>
      <c r="L7" s="3"/>
    </row>
    <row r="8" spans="1:12" ht="12.75">
      <c r="A8" s="44" t="s">
        <v>63</v>
      </c>
      <c r="B8" s="39">
        <f aca="true" t="shared" si="1" ref="B8:H8">B7/(1+$B$10)^(B5/360)</f>
        <v>-106</v>
      </c>
      <c r="C8" s="39">
        <f t="shared" si="1"/>
        <v>4.383402994900277</v>
      </c>
      <c r="D8" s="39">
        <f t="shared" si="1"/>
        <v>4.234819326496573</v>
      </c>
      <c r="E8" s="39">
        <f t="shared" si="1"/>
        <v>4.090698940892643</v>
      </c>
      <c r="F8" s="39">
        <f t="shared" si="1"/>
        <v>3.950098434431076</v>
      </c>
      <c r="G8" s="39">
        <f t="shared" si="1"/>
        <v>3.814328602804979</v>
      </c>
      <c r="H8" s="39">
        <f t="shared" si="1"/>
        <v>85.52663182474177</v>
      </c>
      <c r="I8" s="38"/>
      <c r="J8" s="38"/>
      <c r="K8" s="38"/>
      <c r="L8" s="38"/>
    </row>
    <row r="9" spans="1:2" ht="12.75">
      <c r="A9" s="44" t="s">
        <v>64</v>
      </c>
      <c r="B9" s="40">
        <f>SUM(B8:H8)</f>
        <v>-1.9875732689911274E-05</v>
      </c>
    </row>
    <row r="10" spans="1:2" ht="12.75">
      <c r="A10" s="44" t="s">
        <v>62</v>
      </c>
      <c r="B10" s="41">
        <v>0.0348688050067062</v>
      </c>
    </row>
    <row r="11" ht="12.75">
      <c r="A11" s="43"/>
    </row>
    <row r="12" spans="1:2" ht="12.75">
      <c r="A12" s="43" t="s">
        <v>78</v>
      </c>
      <c r="B12" s="42">
        <v>0.3</v>
      </c>
    </row>
    <row r="13" ht="12.75"/>
    <row r="14" ht="12.75"/>
    <row r="15" ht="12.75">
      <c r="A15" s="23" t="s">
        <v>72</v>
      </c>
    </row>
    <row r="16" spans="1:2" ht="12.75">
      <c r="A16" t="s">
        <v>73</v>
      </c>
      <c r="B16">
        <f>H5</f>
        <v>2075</v>
      </c>
    </row>
    <row r="17" spans="1:2" ht="12.75">
      <c r="A17" t="s">
        <v>74</v>
      </c>
      <c r="B17">
        <f>B16/360</f>
        <v>5.763888888888889</v>
      </c>
    </row>
    <row r="18" spans="1:2" ht="12.75">
      <c r="A18" t="s">
        <v>75</v>
      </c>
      <c r="B18">
        <f>0.0004*B17^4-0.0096*B17^3+0.0798*B17^2-0.0038*B17+1.8686</f>
        <v>3.101030525563581</v>
      </c>
    </row>
    <row r="19" ht="12.75"/>
    <row r="20" spans="1:3" ht="12.75">
      <c r="A20" s="23" t="s">
        <v>76</v>
      </c>
      <c r="C20" s="26">
        <f>B10-B18/100</f>
        <v>0.0038584997510703913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12" width="10.140625" style="0" bestFit="1" customWidth="1"/>
  </cols>
  <sheetData>
    <row r="1" ht="23.25">
      <c r="A1" s="34" t="str">
        <f>TOTAL!A6</f>
        <v> GAZ de France S.A. EO-Medium-Term N..</v>
      </c>
    </row>
    <row r="3" spans="1:12" ht="12.75">
      <c r="A3" s="23"/>
      <c r="B3" s="19">
        <v>37790</v>
      </c>
      <c r="C3" s="19">
        <v>38069</v>
      </c>
      <c r="D3" s="19">
        <f>C3+365</f>
        <v>38434</v>
      </c>
      <c r="E3" s="19">
        <f>D3+365</f>
        <v>38799</v>
      </c>
      <c r="F3" s="19">
        <f>E3+365</f>
        <v>39164</v>
      </c>
      <c r="G3" s="19">
        <f>F3+366</f>
        <v>39530</v>
      </c>
      <c r="H3" s="19">
        <f>G3+365</f>
        <v>39895</v>
      </c>
      <c r="I3" s="19">
        <f>H3+365</f>
        <v>40260</v>
      </c>
      <c r="J3" s="19">
        <f>I3+365</f>
        <v>40625</v>
      </c>
      <c r="K3" s="19">
        <f>J3+366</f>
        <v>40991</v>
      </c>
      <c r="L3" s="19">
        <f>K3+365</f>
        <v>41356</v>
      </c>
    </row>
    <row r="4" spans="1:12" ht="12.75">
      <c r="A4" s="43" t="s">
        <v>68</v>
      </c>
      <c r="B4" s="22">
        <f>-TOTAL!B6</f>
        <v>-105.2</v>
      </c>
      <c r="C4" s="22">
        <v>4.75</v>
      </c>
      <c r="D4" s="22">
        <v>4.75</v>
      </c>
      <c r="E4" s="22">
        <v>4.75</v>
      </c>
      <c r="F4" s="22">
        <v>4.75</v>
      </c>
      <c r="G4" s="22">
        <v>4.75</v>
      </c>
      <c r="H4" s="22">
        <v>4.75</v>
      </c>
      <c r="I4" s="22">
        <v>4.75</v>
      </c>
      <c r="J4" s="22">
        <v>4.75</v>
      </c>
      <c r="K4" s="22">
        <v>4.75</v>
      </c>
      <c r="L4" s="22">
        <v>104.75</v>
      </c>
    </row>
    <row r="5" spans="1:12" ht="12.75">
      <c r="A5" s="43" t="s">
        <v>71</v>
      </c>
      <c r="B5" s="24"/>
      <c r="C5" s="24">
        <f>DAYS360(B3,C3,TRUE)</f>
        <v>275</v>
      </c>
      <c r="D5" s="24">
        <f aca="true" t="shared" si="0" ref="D5:L5">DAYS360($B$3,D3,TRUE)</f>
        <v>635</v>
      </c>
      <c r="E5" s="24">
        <f t="shared" si="0"/>
        <v>995</v>
      </c>
      <c r="F5" s="24">
        <f t="shared" si="0"/>
        <v>1355</v>
      </c>
      <c r="G5" s="24">
        <f t="shared" si="0"/>
        <v>1715</v>
      </c>
      <c r="H5" s="24">
        <f t="shared" si="0"/>
        <v>2075</v>
      </c>
      <c r="I5" s="24">
        <f t="shared" si="0"/>
        <v>2435</v>
      </c>
      <c r="J5" s="24">
        <f t="shared" si="0"/>
        <v>2795</v>
      </c>
      <c r="K5" s="24">
        <f t="shared" si="0"/>
        <v>3155</v>
      </c>
      <c r="L5" s="24">
        <f t="shared" si="0"/>
        <v>3515</v>
      </c>
    </row>
    <row r="6" spans="1:12" ht="12.75">
      <c r="A6" s="43" t="s">
        <v>67</v>
      </c>
      <c r="B6" s="45">
        <v>0</v>
      </c>
      <c r="C6" s="45">
        <v>0.0001</v>
      </c>
      <c r="D6" s="45">
        <v>0.0004</v>
      </c>
      <c r="E6" s="45">
        <v>0.0009</v>
      </c>
      <c r="F6" s="45">
        <v>0.0019</v>
      </c>
      <c r="G6" s="45">
        <v>0.0029</v>
      </c>
      <c r="H6" s="45">
        <v>0.004</v>
      </c>
      <c r="I6" s="45">
        <v>0.0052</v>
      </c>
      <c r="J6" s="45">
        <v>0.0062</v>
      </c>
      <c r="K6" s="45">
        <v>0.0071</v>
      </c>
      <c r="L6" s="45">
        <v>0.0081</v>
      </c>
    </row>
    <row r="7" spans="1:12" ht="12.75">
      <c r="A7" s="43" t="s">
        <v>65</v>
      </c>
      <c r="B7" s="24">
        <f>(1-B6)*B4+(B6*$B$12*B4)</f>
        <v>-105.2</v>
      </c>
      <c r="C7" s="24">
        <f aca="true" t="shared" si="1" ref="C7:L7">(1-C6)*C4+(C6*$B$12*C4)</f>
        <v>4.7496675</v>
      </c>
      <c r="D7" s="24">
        <f t="shared" si="1"/>
        <v>4.74867</v>
      </c>
      <c r="E7" s="24">
        <f t="shared" si="1"/>
        <v>4.7470075000000005</v>
      </c>
      <c r="F7" s="24">
        <f t="shared" si="1"/>
        <v>4.743682499999999</v>
      </c>
      <c r="G7" s="24">
        <f t="shared" si="1"/>
        <v>4.7403575</v>
      </c>
      <c r="H7" s="24">
        <f t="shared" si="1"/>
        <v>4.7367</v>
      </c>
      <c r="I7" s="24">
        <f t="shared" si="1"/>
        <v>4.73271</v>
      </c>
      <c r="J7" s="24">
        <f t="shared" si="1"/>
        <v>4.729385000000001</v>
      </c>
      <c r="K7" s="24">
        <f t="shared" si="1"/>
        <v>4.7263925</v>
      </c>
      <c r="L7" s="24">
        <f t="shared" si="1"/>
        <v>104.1560675</v>
      </c>
    </row>
    <row r="8" spans="1:12" ht="12.75">
      <c r="A8" s="43" t="s">
        <v>63</v>
      </c>
      <c r="B8" s="21">
        <f>B7/(1+$B$10)^(B5/360)</f>
        <v>-105.2</v>
      </c>
      <c r="C8" s="21">
        <f>C7/(1+$B$10)^(C5/360)</f>
        <v>4.603696020695451</v>
      </c>
      <c r="D8" s="21">
        <f>D7/(1+$B$10)^(D5/360)</f>
        <v>4.418436741867881</v>
      </c>
      <c r="E8" s="21">
        <f>E7/(1+$B$10)^(E5/360)</f>
        <v>4.2400383933412025</v>
      </c>
      <c r="F8" s="21">
        <f aca="true" t="shared" si="2" ref="F8:L8">F7/(1+$B$10)^(F5/360)</f>
        <v>4.067417047297065</v>
      </c>
      <c r="G8" s="21">
        <f t="shared" si="2"/>
        <v>3.9018215812658505</v>
      </c>
      <c r="H8" s="21">
        <f t="shared" si="2"/>
        <v>3.742703384769456</v>
      </c>
      <c r="I8" s="21">
        <f t="shared" si="2"/>
        <v>3.5898197603792803</v>
      </c>
      <c r="J8" s="21">
        <f t="shared" si="2"/>
        <v>3.443662961774023</v>
      </c>
      <c r="K8" s="21">
        <f t="shared" si="2"/>
        <v>3.303687607158862</v>
      </c>
      <c r="L8" s="21">
        <f t="shared" si="2"/>
        <v>69.88870347978376</v>
      </c>
    </row>
    <row r="9" spans="1:2" ht="12.75">
      <c r="A9" s="43" t="s">
        <v>64</v>
      </c>
      <c r="B9" s="20">
        <f>SUM(B8:L8)</f>
        <v>-1.302166715788644E-05</v>
      </c>
    </row>
    <row r="10" spans="1:2" ht="12.75">
      <c r="A10" s="43" t="s">
        <v>62</v>
      </c>
      <c r="B10" s="27">
        <v>0.041709872914520274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L5</f>
        <v>3515</v>
      </c>
    </row>
    <row r="17" spans="1:2" ht="12.75">
      <c r="A17" t="s">
        <v>74</v>
      </c>
      <c r="B17">
        <f>B16/360</f>
        <v>9.76388888888889</v>
      </c>
    </row>
    <row r="18" spans="1:2" ht="12.75">
      <c r="A18" t="s">
        <v>75</v>
      </c>
      <c r="B18">
        <f>0.0004*B17^4-0.0096*B17^3+0.0798*B17^2-0.0038*B17+1.8686</f>
        <v>4.1385759130807305</v>
      </c>
    </row>
    <row r="20" spans="1:3" ht="12.75">
      <c r="A20" s="23" t="s">
        <v>76</v>
      </c>
      <c r="C20" s="26">
        <f>B10-B18/100</f>
        <v>0.0003241137837129704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L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12" width="10.7109375" style="0" bestFit="1" customWidth="1"/>
  </cols>
  <sheetData>
    <row r="1" ht="23.25">
      <c r="A1" s="34" t="str">
        <f>TOTAL!A8</f>
        <v> Deutsche Post Finance B.V. EO-Anl. ..</v>
      </c>
    </row>
    <row r="3" spans="1:12" ht="12.75">
      <c r="A3" s="23"/>
      <c r="B3" s="19">
        <v>37790</v>
      </c>
      <c r="C3" s="19">
        <v>37898</v>
      </c>
      <c r="D3" s="19">
        <f>C3+365+1</f>
        <v>38264</v>
      </c>
      <c r="E3" s="19">
        <f>D3+365</f>
        <v>38629</v>
      </c>
      <c r="F3" s="19">
        <f>E3+365</f>
        <v>38994</v>
      </c>
      <c r="G3" s="19">
        <f>F3+365</f>
        <v>39359</v>
      </c>
      <c r="H3" s="19">
        <f>G3+365+1</f>
        <v>39725</v>
      </c>
      <c r="I3" s="19">
        <f>H3+365</f>
        <v>40090</v>
      </c>
      <c r="J3" s="19">
        <f>I3+365</f>
        <v>40455</v>
      </c>
      <c r="K3" s="19">
        <f>J3+365</f>
        <v>40820</v>
      </c>
      <c r="L3" s="19">
        <f>K3+365+1</f>
        <v>41186</v>
      </c>
    </row>
    <row r="4" spans="1:12" ht="12.75">
      <c r="A4" s="43" t="s">
        <v>68</v>
      </c>
      <c r="B4" s="21">
        <f>-TOTAL!B8</f>
        <v>-106.8</v>
      </c>
      <c r="C4" s="22">
        <v>5.125</v>
      </c>
      <c r="D4" s="22">
        <v>5.125</v>
      </c>
      <c r="E4" s="22">
        <v>5.125</v>
      </c>
      <c r="F4" s="22">
        <v>5.125</v>
      </c>
      <c r="G4" s="22">
        <v>5.125</v>
      </c>
      <c r="H4" s="22">
        <v>5.125</v>
      </c>
      <c r="I4" s="22">
        <v>5.125</v>
      </c>
      <c r="J4" s="22">
        <v>5.125</v>
      </c>
      <c r="K4" s="22">
        <v>5.125</v>
      </c>
      <c r="L4" s="22">
        <f>5.125+100</f>
        <v>105.125</v>
      </c>
    </row>
    <row r="5" spans="1:12" ht="12.75">
      <c r="A5" s="43" t="s">
        <v>71</v>
      </c>
      <c r="B5" s="24"/>
      <c r="C5" s="24">
        <f>DAYS360(B3,C3,TRUE)</f>
        <v>106</v>
      </c>
      <c r="D5" s="24">
        <f aca="true" t="shared" si="0" ref="D5:L5">DAYS360($B$3,D3,TRUE)</f>
        <v>466</v>
      </c>
      <c r="E5" s="24">
        <f t="shared" si="0"/>
        <v>826</v>
      </c>
      <c r="F5" s="24">
        <f t="shared" si="0"/>
        <v>1186</v>
      </c>
      <c r="G5" s="24">
        <f t="shared" si="0"/>
        <v>1546</v>
      </c>
      <c r="H5" s="24">
        <f t="shared" si="0"/>
        <v>1906</v>
      </c>
      <c r="I5" s="24">
        <f t="shared" si="0"/>
        <v>2266</v>
      </c>
      <c r="J5" s="24">
        <f t="shared" si="0"/>
        <v>2626</v>
      </c>
      <c r="K5" s="24">
        <f t="shared" si="0"/>
        <v>2986</v>
      </c>
      <c r="L5" s="24">
        <f t="shared" si="0"/>
        <v>3346</v>
      </c>
    </row>
    <row r="6" spans="1:12" ht="12.75">
      <c r="A6" s="43" t="s">
        <v>67</v>
      </c>
      <c r="B6" s="45">
        <v>0</v>
      </c>
      <c r="C6" s="45">
        <v>0.0001</v>
      </c>
      <c r="D6" s="45">
        <v>0.0004</v>
      </c>
      <c r="E6" s="45">
        <v>0.0009</v>
      </c>
      <c r="F6" s="45">
        <v>0.0019</v>
      </c>
      <c r="G6" s="45">
        <v>0.0029</v>
      </c>
      <c r="H6" s="45">
        <v>0.004</v>
      </c>
      <c r="I6" s="45">
        <v>0.0052</v>
      </c>
      <c r="J6" s="45">
        <v>0.0062</v>
      </c>
      <c r="K6" s="45">
        <v>0.0071</v>
      </c>
      <c r="L6" s="45">
        <v>0.0081</v>
      </c>
    </row>
    <row r="7" spans="1:12" ht="12.75">
      <c r="A7" s="43" t="s">
        <v>65</v>
      </c>
      <c r="B7" s="21">
        <f>(1-B6)*B4+(B6*$B$12*B4)</f>
        <v>-106.8</v>
      </c>
      <c r="C7" s="24">
        <f>(1-C6)*C4+(C6*$B$12*C4)</f>
        <v>5.12464125</v>
      </c>
      <c r="D7" s="24">
        <f aca="true" t="shared" si="1" ref="D7:L7">(1-D6)*D4+(D6*$B$12*D4)</f>
        <v>5.123565</v>
      </c>
      <c r="E7" s="24">
        <f t="shared" si="1"/>
        <v>5.121771249999999</v>
      </c>
      <c r="F7" s="24">
        <f t="shared" si="1"/>
        <v>5.11818375</v>
      </c>
      <c r="G7" s="24">
        <f t="shared" si="1"/>
        <v>5.11459625</v>
      </c>
      <c r="H7" s="24">
        <f t="shared" si="1"/>
        <v>5.11065</v>
      </c>
      <c r="I7" s="24">
        <f t="shared" si="1"/>
        <v>5.106345</v>
      </c>
      <c r="J7" s="24">
        <f t="shared" si="1"/>
        <v>5.1027575</v>
      </c>
      <c r="K7" s="24">
        <f t="shared" si="1"/>
        <v>5.09952875</v>
      </c>
      <c r="L7" s="24">
        <f t="shared" si="1"/>
        <v>104.52894125</v>
      </c>
    </row>
    <row r="8" spans="1:12" ht="12.75">
      <c r="A8" s="43" t="s">
        <v>63</v>
      </c>
      <c r="B8" s="21">
        <f>B7/(1+$B$10)^(B5/360)</f>
        <v>-106.8</v>
      </c>
      <c r="C8" s="21">
        <f>C7/(1+$B$10)^(C5/360)</f>
        <v>5.056810788929007</v>
      </c>
      <c r="D8" s="21">
        <f>D7/(1+$B$10)^(D5/360)</f>
        <v>4.832060072916202</v>
      </c>
      <c r="E8" s="21">
        <f>E7/(1+$B$10)^(E5/360)</f>
        <v>4.616651493885637</v>
      </c>
      <c r="F8" s="21">
        <f aca="true" t="shared" si="2" ref="F8:L8">F7/(1+$B$10)^(F5/360)</f>
        <v>4.4092997704213985</v>
      </c>
      <c r="G8" s="21">
        <f t="shared" si="2"/>
        <v>4.211258948017438</v>
      </c>
      <c r="H8" s="21">
        <f t="shared" si="2"/>
        <v>4.021828702580474</v>
      </c>
      <c r="I8" s="21">
        <f t="shared" si="2"/>
        <v>3.8406472636812783</v>
      </c>
      <c r="J8" s="21">
        <f t="shared" si="2"/>
        <v>3.6681411324360558</v>
      </c>
      <c r="K8" s="21">
        <f t="shared" si="2"/>
        <v>3.503628016763298</v>
      </c>
      <c r="L8" s="21">
        <f t="shared" si="2"/>
        <v>68.63906141485043</v>
      </c>
    </row>
    <row r="9" spans="1:2" ht="12.75">
      <c r="A9" s="43" t="s">
        <v>64</v>
      </c>
      <c r="B9" s="20">
        <f>SUM(B8:L8)</f>
        <v>-0.0006123955187433694</v>
      </c>
    </row>
    <row r="10" spans="1:2" ht="12.75">
      <c r="A10" s="43" t="s">
        <v>62</v>
      </c>
      <c r="B10" s="27">
        <v>0.04629261806172226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L5</f>
        <v>3346</v>
      </c>
    </row>
    <row r="17" spans="1:2" ht="12.75">
      <c r="A17" t="s">
        <v>74</v>
      </c>
      <c r="B17">
        <f>B16/360</f>
        <v>9.294444444444444</v>
      </c>
    </row>
    <row r="18" spans="1:2" ht="12.75">
      <c r="A18" t="s">
        <v>75</v>
      </c>
      <c r="B18">
        <f>0.0004*B17^4-0.0096*B17^3+0.0798*B17^2-0.0038*B17+1.8686</f>
        <v>4.004007113169106</v>
      </c>
    </row>
    <row r="20" spans="1:3" ht="12.75">
      <c r="A20" s="23" t="s">
        <v>76</v>
      </c>
      <c r="C20" s="26">
        <f>B10-B18/100</f>
        <v>0.0062525469300312025</v>
      </c>
    </row>
  </sheetData>
  <printOptions/>
  <pageMargins left="0.75" right="0.75" top="1" bottom="1" header="0.4921259845" footer="0.4921259845"/>
  <pageSetup orientation="portrait" paperSize="9"/>
  <ignoredErrors>
    <ignoredError sqref="H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L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8" width="10.140625" style="0" bestFit="1" customWidth="1"/>
  </cols>
  <sheetData>
    <row r="1" ht="23.25">
      <c r="A1" s="34" t="str">
        <f>TOTAL!A10</f>
        <v> RWE AG Medium Term Notes v.03(09)</v>
      </c>
    </row>
    <row r="3" spans="1:8" ht="12.75">
      <c r="A3" s="23"/>
      <c r="B3" s="19">
        <v>37790</v>
      </c>
      <c r="C3" s="19">
        <v>38141</v>
      </c>
      <c r="D3" s="19">
        <f>C3+365</f>
        <v>38506</v>
      </c>
      <c r="E3" s="19">
        <f>D3+365</f>
        <v>38871</v>
      </c>
      <c r="F3" s="19">
        <f>E3+365</f>
        <v>39236</v>
      </c>
      <c r="G3" s="19">
        <f>F3+366</f>
        <v>39602</v>
      </c>
      <c r="H3" s="19">
        <f>G3+365</f>
        <v>39967</v>
      </c>
    </row>
    <row r="4" spans="1:8" ht="12.75">
      <c r="A4" s="43" t="s">
        <v>68</v>
      </c>
      <c r="B4" s="22">
        <f>-TOTAL!B10</f>
        <v>-108.75</v>
      </c>
      <c r="C4" s="22">
        <v>5.625</v>
      </c>
      <c r="D4" s="22">
        <v>5.625</v>
      </c>
      <c r="E4" s="22">
        <v>5.625</v>
      </c>
      <c r="F4" s="22">
        <v>5.625</v>
      </c>
      <c r="G4" s="22">
        <v>5.625</v>
      </c>
      <c r="H4" s="22">
        <v>105.625</v>
      </c>
    </row>
    <row r="5" spans="1:8" ht="12.75">
      <c r="A5" s="43" t="s">
        <v>71</v>
      </c>
      <c r="B5" s="24"/>
      <c r="C5" s="24">
        <f>DAYS360(B3,C3,TRUE)</f>
        <v>345</v>
      </c>
      <c r="D5" s="24">
        <f>DAYS360($B$3,D3,TRUE)</f>
        <v>705</v>
      </c>
      <c r="E5" s="24">
        <f>DAYS360($B$3,E3,TRUE)</f>
        <v>1065</v>
      </c>
      <c r="F5" s="24">
        <f>DAYS360($B$3,F3,TRUE)</f>
        <v>1425</v>
      </c>
      <c r="G5" s="24">
        <f>DAYS360($B$3,G3,TRUE)</f>
        <v>1785</v>
      </c>
      <c r="H5" s="24">
        <f>DAYS360($B$3,H3,TRUE)</f>
        <v>2145</v>
      </c>
    </row>
    <row r="6" spans="1:12" ht="12.75">
      <c r="A6" s="43" t="s">
        <v>67</v>
      </c>
      <c r="B6" s="45">
        <v>0</v>
      </c>
      <c r="C6" s="45">
        <v>0.0004</v>
      </c>
      <c r="D6" s="45">
        <v>0.0012</v>
      </c>
      <c r="E6" s="45">
        <v>0.0023</v>
      </c>
      <c r="F6" s="45">
        <v>0.0038</v>
      </c>
      <c r="G6" s="45">
        <v>0.0059</v>
      </c>
      <c r="H6" s="45">
        <v>0.0081</v>
      </c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-108.75</v>
      </c>
      <c r="C7" s="24">
        <f aca="true" t="shared" si="0" ref="C7:H7">(1-C6)*C4+(C6*$B$12*C4)</f>
        <v>5.623425</v>
      </c>
      <c r="D7" s="24">
        <f t="shared" si="0"/>
        <v>5.6202749999999995</v>
      </c>
      <c r="E7" s="24">
        <f t="shared" si="0"/>
        <v>5.6159437500000005</v>
      </c>
      <c r="F7" s="24">
        <f t="shared" si="0"/>
        <v>5.6100375</v>
      </c>
      <c r="G7" s="24">
        <f t="shared" si="0"/>
        <v>5.60176875</v>
      </c>
      <c r="H7" s="24">
        <f t="shared" si="0"/>
        <v>105.02610625</v>
      </c>
      <c r="I7" s="24"/>
      <c r="J7" s="24"/>
      <c r="K7" s="24"/>
      <c r="L7" s="24"/>
    </row>
    <row r="8" spans="1:8" ht="12.75">
      <c r="A8" s="43" t="s">
        <v>63</v>
      </c>
      <c r="B8" s="21">
        <f aca="true" t="shared" si="1" ref="B8:H8">B7/(1+$B$10)^(B5/360)</f>
        <v>-108.75</v>
      </c>
      <c r="C8" s="21">
        <f t="shared" si="1"/>
        <v>5.421220816557884</v>
      </c>
      <c r="D8" s="21">
        <f t="shared" si="1"/>
        <v>5.21504999304418</v>
      </c>
      <c r="E8" s="21">
        <f t="shared" si="1"/>
        <v>5.015663350522083</v>
      </c>
      <c r="F8" s="21">
        <f t="shared" si="1"/>
        <v>4.822543060803181</v>
      </c>
      <c r="G8" s="21">
        <f t="shared" si="1"/>
        <v>4.6348986965191585</v>
      </c>
      <c r="H8" s="21">
        <f t="shared" si="1"/>
        <v>83.64058361986628</v>
      </c>
    </row>
    <row r="9" spans="1:2" ht="12.75">
      <c r="A9" s="43" t="s">
        <v>64</v>
      </c>
      <c r="B9" s="20">
        <f>SUM(B8:H8)</f>
        <v>-4.046268723811863E-05</v>
      </c>
    </row>
    <row r="10" spans="1:2" ht="12.75">
      <c r="A10" s="43" t="s">
        <v>62</v>
      </c>
      <c r="B10" s="27">
        <v>0.038951513377986406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H5</f>
        <v>2145</v>
      </c>
    </row>
    <row r="17" spans="1:2" ht="12.75">
      <c r="A17" t="s">
        <v>74</v>
      </c>
      <c r="B17">
        <f>B16/360</f>
        <v>5.958333333333333</v>
      </c>
    </row>
    <row r="18" spans="1:2" ht="12.75">
      <c r="A18" t="s">
        <v>75</v>
      </c>
      <c r="B18">
        <f>0.0004*B17^4-0.0096*B17^3+0.0798*B17^2-0.0038*B17+1.8686</f>
        <v>3.152446876205633</v>
      </c>
    </row>
    <row r="20" spans="1:3" ht="12.75">
      <c r="A20" s="23" t="s">
        <v>76</v>
      </c>
      <c r="C20" s="26">
        <f>B10-B18/100</f>
        <v>0.0074270446159300785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L20"/>
  <sheetViews>
    <sheetView workbookViewId="0" topLeftCell="A1">
      <selection activeCell="B9" sqref="B9"/>
    </sheetView>
  </sheetViews>
  <sheetFormatPr defaultColWidth="11.421875" defaultRowHeight="12.75"/>
  <cols>
    <col min="1" max="1" width="19.7109375" style="0" bestFit="1" customWidth="1"/>
    <col min="2" max="8" width="10.140625" style="0" bestFit="1" customWidth="1"/>
  </cols>
  <sheetData>
    <row r="1" ht="23.25">
      <c r="A1" s="34" t="str">
        <f>TOTAL!A12</f>
        <v> SCHLUMBERGER INDUSTRIES S.A. EO-BON..</v>
      </c>
    </row>
    <row r="3" spans="1:8" ht="12.75">
      <c r="A3" s="23"/>
      <c r="B3" s="19">
        <v>37790</v>
      </c>
      <c r="C3" s="19">
        <v>37897</v>
      </c>
      <c r="D3" s="19">
        <f>C3+366</f>
        <v>38263</v>
      </c>
      <c r="E3" s="19">
        <f>D3+365</f>
        <v>38628</v>
      </c>
      <c r="F3" s="19">
        <f>E3+365</f>
        <v>38993</v>
      </c>
      <c r="G3" s="19">
        <f>F3+365</f>
        <v>39358</v>
      </c>
      <c r="H3" s="19">
        <f>G3+365+1</f>
        <v>39724</v>
      </c>
    </row>
    <row r="4" spans="1:8" ht="12.75">
      <c r="A4" s="43" t="s">
        <v>68</v>
      </c>
      <c r="B4" s="22">
        <f>-TOTAL!B12</f>
        <v>-110.5</v>
      </c>
      <c r="C4" s="22">
        <v>5.25</v>
      </c>
      <c r="D4" s="22">
        <v>5.25</v>
      </c>
      <c r="E4" s="22">
        <v>5.25</v>
      </c>
      <c r="F4" s="22">
        <v>5.25</v>
      </c>
      <c r="G4" s="22">
        <v>5.25</v>
      </c>
      <c r="H4" s="22">
        <v>105.25</v>
      </c>
    </row>
    <row r="5" spans="1:8" ht="12.75">
      <c r="A5" s="43" t="s">
        <v>71</v>
      </c>
      <c r="B5" s="24"/>
      <c r="C5" s="24">
        <f>DAYS360(B3,C3,TRUE)</f>
        <v>105</v>
      </c>
      <c r="D5" s="24">
        <f>DAYS360($B$3,D3,TRUE)</f>
        <v>465</v>
      </c>
      <c r="E5" s="24">
        <f>DAYS360($B$3,E3,TRUE)</f>
        <v>825</v>
      </c>
      <c r="F5" s="24">
        <f>DAYS360($B$3,F3,TRUE)</f>
        <v>1185</v>
      </c>
      <c r="G5" s="24">
        <f>DAYS360($B$3,G3,TRUE)</f>
        <v>1545</v>
      </c>
      <c r="H5" s="24">
        <f>DAYS360($B$3,H3,TRUE)</f>
        <v>1905</v>
      </c>
    </row>
    <row r="6" spans="1:12" ht="12.75">
      <c r="A6" s="43" t="s">
        <v>67</v>
      </c>
      <c r="B6" s="45">
        <v>0</v>
      </c>
      <c r="C6" s="45">
        <v>0.0004</v>
      </c>
      <c r="D6" s="45">
        <v>0.0012</v>
      </c>
      <c r="E6" s="45">
        <v>0.0023</v>
      </c>
      <c r="F6" s="45">
        <v>0.0038</v>
      </c>
      <c r="G6" s="45">
        <v>0.0059</v>
      </c>
      <c r="H6" s="45">
        <v>0.0081</v>
      </c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-110.5</v>
      </c>
      <c r="C7" s="24">
        <f aca="true" t="shared" si="0" ref="C7:H7">(1-C6)*C4+(C6*$B$12*C4)</f>
        <v>5.248530000000001</v>
      </c>
      <c r="D7" s="24">
        <f t="shared" si="0"/>
        <v>5.245590000000001</v>
      </c>
      <c r="E7" s="24">
        <f t="shared" si="0"/>
        <v>5.2415475</v>
      </c>
      <c r="F7" s="24">
        <f t="shared" si="0"/>
        <v>5.236035</v>
      </c>
      <c r="G7" s="24">
        <f t="shared" si="0"/>
        <v>5.2283175</v>
      </c>
      <c r="H7" s="24">
        <f t="shared" si="0"/>
        <v>104.6532325</v>
      </c>
      <c r="I7" s="24"/>
      <c r="J7" s="24"/>
      <c r="K7" s="24"/>
      <c r="L7" s="24"/>
    </row>
    <row r="8" spans="1:8" ht="12.75">
      <c r="A8" s="43" t="s">
        <v>63</v>
      </c>
      <c r="B8" s="21">
        <f aca="true" t="shared" si="1" ref="B8:H8">B7/(1+$B$10)^(B5/360)</f>
        <v>-110.5</v>
      </c>
      <c r="C8" s="21">
        <f t="shared" si="1"/>
        <v>5.193237556285706</v>
      </c>
      <c r="D8" s="21">
        <f t="shared" si="1"/>
        <v>5.005242823328452</v>
      </c>
      <c r="E8" s="21">
        <f t="shared" si="1"/>
        <v>4.823037496273358</v>
      </c>
      <c r="F8" s="21">
        <f t="shared" si="1"/>
        <v>4.64615781228736</v>
      </c>
      <c r="G8" s="21">
        <f t="shared" si="1"/>
        <v>4.473873219209852</v>
      </c>
      <c r="H8" s="21">
        <f t="shared" si="1"/>
        <v>86.35841656160481</v>
      </c>
    </row>
    <row r="9" spans="1:2" ht="12.75">
      <c r="A9" s="43" t="s">
        <v>64</v>
      </c>
      <c r="B9" s="20">
        <f>SUM(B8:H8)</f>
        <v>-3.4531010470573165E-05</v>
      </c>
    </row>
    <row r="10" spans="1:2" ht="12.75">
      <c r="A10" s="43" t="s">
        <v>62</v>
      </c>
      <c r="B10" s="27">
        <v>0.036978366870708115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H5</f>
        <v>1905</v>
      </c>
    </row>
    <row r="17" spans="1:2" ht="12.75">
      <c r="A17" t="s">
        <v>74</v>
      </c>
      <c r="B17">
        <f>B16/360</f>
        <v>5.291666666666667</v>
      </c>
    </row>
    <row r="18" spans="1:2" ht="12.75">
      <c r="A18" t="s">
        <v>75</v>
      </c>
      <c r="B18">
        <f>0.0004*B17^4-0.0096*B17^3+0.0798*B17^2-0.0038*B17+1.8686</f>
        <v>2.9741809039834104</v>
      </c>
    </row>
    <row r="20" spans="1:3" ht="12.75">
      <c r="A20" s="23" t="s">
        <v>76</v>
      </c>
      <c r="C20" s="26">
        <f>B10-B18/100</f>
        <v>0.007236557830874013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L20"/>
  <sheetViews>
    <sheetView workbookViewId="0" topLeftCell="A1">
      <selection activeCell="K7" sqref="K7"/>
    </sheetView>
  </sheetViews>
  <sheetFormatPr defaultColWidth="11.421875" defaultRowHeight="12.75"/>
  <cols>
    <col min="1" max="1" width="19.7109375" style="0" bestFit="1" customWidth="1"/>
    <col min="2" max="11" width="10.140625" style="0" bestFit="1" customWidth="1"/>
  </cols>
  <sheetData>
    <row r="1" ht="23.25">
      <c r="A1" s="34" t="str">
        <f>TOTAL!A14</f>
        <v> Bayer AG MTN-Anleihe v.2002(2012)</v>
      </c>
    </row>
    <row r="3" spans="1:11" ht="12.75">
      <c r="A3" s="23"/>
      <c r="B3" s="19">
        <v>37790</v>
      </c>
      <c r="C3" s="19">
        <v>38087</v>
      </c>
      <c r="D3" s="19">
        <f>C3+365</f>
        <v>38452</v>
      </c>
      <c r="E3" s="19">
        <f>D3+365</f>
        <v>38817</v>
      </c>
      <c r="F3" s="19">
        <f>E3+365</f>
        <v>39182</v>
      </c>
      <c r="G3" s="19">
        <f>F3+366</f>
        <v>39548</v>
      </c>
      <c r="H3" s="19">
        <f>G3+365</f>
        <v>39913</v>
      </c>
      <c r="I3" s="19">
        <f>H3+365</f>
        <v>40278</v>
      </c>
      <c r="J3" s="19">
        <f>I3+365</f>
        <v>40643</v>
      </c>
      <c r="K3" s="19">
        <f>J3+366</f>
        <v>41009</v>
      </c>
    </row>
    <row r="4" spans="1:11" ht="12.75">
      <c r="A4" s="43" t="s">
        <v>68</v>
      </c>
      <c r="B4" s="22">
        <f>-TOTAL!B14</f>
        <v>-109.5</v>
      </c>
      <c r="C4" s="22">
        <v>6</v>
      </c>
      <c r="D4" s="22">
        <v>6</v>
      </c>
      <c r="E4" s="22">
        <v>6</v>
      </c>
      <c r="F4" s="22">
        <v>6</v>
      </c>
      <c r="G4" s="22">
        <v>6</v>
      </c>
      <c r="H4" s="22">
        <v>6</v>
      </c>
      <c r="I4" s="22">
        <v>6</v>
      </c>
      <c r="J4" s="22">
        <v>6</v>
      </c>
      <c r="K4" s="22">
        <v>106</v>
      </c>
    </row>
    <row r="5" spans="1:11" ht="12.75">
      <c r="A5" s="43" t="s">
        <v>71</v>
      </c>
      <c r="B5" s="24"/>
      <c r="C5" s="24">
        <f>DAYS360(B3,C3,TRUE)</f>
        <v>292</v>
      </c>
      <c r="D5" s="24">
        <f aca="true" t="shared" si="0" ref="D5:K5">DAYS360($B$3,D3,TRUE)</f>
        <v>652</v>
      </c>
      <c r="E5" s="24">
        <f t="shared" si="0"/>
        <v>1012</v>
      </c>
      <c r="F5" s="24">
        <f t="shared" si="0"/>
        <v>1372</v>
      </c>
      <c r="G5" s="24">
        <f t="shared" si="0"/>
        <v>1732</v>
      </c>
      <c r="H5" s="24">
        <f t="shared" si="0"/>
        <v>2092</v>
      </c>
      <c r="I5" s="24">
        <f t="shared" si="0"/>
        <v>2452</v>
      </c>
      <c r="J5" s="24">
        <f t="shared" si="0"/>
        <v>2812</v>
      </c>
      <c r="K5" s="24">
        <f t="shared" si="0"/>
        <v>3172</v>
      </c>
    </row>
    <row r="6" spans="1:12" ht="12.75">
      <c r="A6" s="43" t="s">
        <v>67</v>
      </c>
      <c r="B6" s="45">
        <v>0</v>
      </c>
      <c r="C6" s="45">
        <v>0.0004</v>
      </c>
      <c r="D6" s="45">
        <v>0.0012</v>
      </c>
      <c r="E6" s="45">
        <v>0.0023</v>
      </c>
      <c r="F6" s="45">
        <v>0.0038</v>
      </c>
      <c r="G6" s="45">
        <v>0.0059</v>
      </c>
      <c r="H6" s="45">
        <v>0.0081</v>
      </c>
      <c r="I6" s="45">
        <v>0.0106</v>
      </c>
      <c r="J6" s="45">
        <v>0.0129</v>
      </c>
      <c r="K6" s="45">
        <v>0.0155</v>
      </c>
      <c r="L6" s="47"/>
    </row>
    <row r="7" spans="1:12" ht="12.75">
      <c r="A7" s="43" t="s">
        <v>65</v>
      </c>
      <c r="B7" s="24">
        <f>(1-B6)*B4+(B6*$B$12*B4)</f>
        <v>-109.5</v>
      </c>
      <c r="C7" s="24">
        <f aca="true" t="shared" si="1" ref="C7:K7">(1-C6)*C4+(C6*$B$12*C4)</f>
        <v>5.9983200000000005</v>
      </c>
      <c r="D7" s="24">
        <f t="shared" si="1"/>
        <v>5.99496</v>
      </c>
      <c r="E7" s="24">
        <f t="shared" si="1"/>
        <v>5.99034</v>
      </c>
      <c r="F7" s="24">
        <f t="shared" si="1"/>
        <v>5.98404</v>
      </c>
      <c r="G7" s="24">
        <f t="shared" si="1"/>
        <v>5.97522</v>
      </c>
      <c r="H7" s="24">
        <f t="shared" si="1"/>
        <v>5.965979999999999</v>
      </c>
      <c r="I7" s="24">
        <f t="shared" si="1"/>
        <v>5.95548</v>
      </c>
      <c r="J7" s="24">
        <f t="shared" si="1"/>
        <v>5.94582</v>
      </c>
      <c r="K7" s="24">
        <f t="shared" si="1"/>
        <v>104.8499</v>
      </c>
      <c r="L7" s="24"/>
    </row>
    <row r="8" spans="1:11" ht="12.75">
      <c r="A8" s="43" t="s">
        <v>63</v>
      </c>
      <c r="B8" s="21">
        <f aca="true" t="shared" si="2" ref="B8:K8">B7/(1+$B$10)^(B5/360)</f>
        <v>-109.5</v>
      </c>
      <c r="C8" s="21">
        <f t="shared" si="2"/>
        <v>5.779539077781859</v>
      </c>
      <c r="D8" s="21">
        <f t="shared" si="2"/>
        <v>5.51766893689394</v>
      </c>
      <c r="E8" s="21">
        <f t="shared" si="2"/>
        <v>5.266554682291842</v>
      </c>
      <c r="F8" s="21">
        <f t="shared" si="2"/>
        <v>5.025455001008554</v>
      </c>
      <c r="G8" s="21">
        <f t="shared" si="2"/>
        <v>4.793365839137366</v>
      </c>
      <c r="H8" s="21">
        <f t="shared" si="2"/>
        <v>4.571663382136755</v>
      </c>
      <c r="I8" s="21">
        <f t="shared" si="2"/>
        <v>4.359282341653392</v>
      </c>
      <c r="J8" s="21">
        <f t="shared" si="2"/>
        <v>4.157342078006236</v>
      </c>
      <c r="K8" s="21">
        <f t="shared" si="2"/>
        <v>70.02897984263056</v>
      </c>
    </row>
    <row r="9" spans="1:2" ht="12.75">
      <c r="A9" s="43" t="s">
        <v>64</v>
      </c>
      <c r="B9" s="20">
        <f>SUM(B8:K8)</f>
        <v>-0.00014881845947911643</v>
      </c>
    </row>
    <row r="10" spans="1:2" ht="12.75">
      <c r="A10" s="43" t="s">
        <v>62</v>
      </c>
      <c r="B10" s="27">
        <v>0.04687354306262684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K5</f>
        <v>3172</v>
      </c>
    </row>
    <row r="17" spans="1:2" ht="12.75">
      <c r="A17" t="s">
        <v>74</v>
      </c>
      <c r="B17">
        <f>B16/360</f>
        <v>8.811111111111112</v>
      </c>
    </row>
    <row r="18" spans="1:2" ht="12.75">
      <c r="A18" t="s">
        <v>75</v>
      </c>
      <c r="B18">
        <f>0.0004*B17^4-0.0096*B17^3+0.0798*B17^2-0.0038*B17+1.8686</f>
        <v>3.8744211231885393</v>
      </c>
    </row>
    <row r="20" spans="1:3" ht="12.75">
      <c r="A20" s="23" t="s">
        <v>76</v>
      </c>
      <c r="C20" s="26">
        <f>B10-B18/100</f>
        <v>0.008129331830741444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L20"/>
  <sheetViews>
    <sheetView workbookViewId="0" topLeftCell="A1">
      <selection activeCell="E7" sqref="E7"/>
    </sheetView>
  </sheetViews>
  <sheetFormatPr defaultColWidth="11.421875" defaultRowHeight="12.75"/>
  <cols>
    <col min="1" max="1" width="19.7109375" style="0" bestFit="1" customWidth="1"/>
    <col min="2" max="5" width="10.140625" style="0" bestFit="1" customWidth="1"/>
  </cols>
  <sheetData>
    <row r="1" ht="23.25">
      <c r="A1" s="34" t="str">
        <f>TOTAL!A16</f>
        <v> COCA-COLA ERFR.GETRAENKE AG ANLEIHE..</v>
      </c>
    </row>
    <row r="3" spans="1:5" ht="12.75">
      <c r="A3" s="23"/>
      <c r="B3" s="19">
        <v>37790</v>
      </c>
      <c r="C3" s="19">
        <v>37806</v>
      </c>
      <c r="D3" s="19">
        <f>C3+366</f>
        <v>38172</v>
      </c>
      <c r="E3" s="19">
        <f>D3+365</f>
        <v>38537</v>
      </c>
    </row>
    <row r="4" spans="1:5" ht="12.75">
      <c r="A4" s="43" t="s">
        <v>68</v>
      </c>
      <c r="B4" s="22">
        <f>-TOTAL!B16</f>
        <v>-106</v>
      </c>
      <c r="C4" s="22">
        <v>5.875</v>
      </c>
      <c r="D4" s="22">
        <f>5.875</f>
        <v>5.875</v>
      </c>
      <c r="E4" s="22">
        <f>100+5.875</f>
        <v>105.875</v>
      </c>
    </row>
    <row r="5" spans="1:5" ht="12.75">
      <c r="A5" s="43" t="s">
        <v>71</v>
      </c>
      <c r="B5" s="24"/>
      <c r="C5" s="24">
        <f>DAYS360(B3,C3,TRUE)</f>
        <v>16</v>
      </c>
      <c r="D5" s="24">
        <f>DAYS360($B$3,D3,TRUE)</f>
        <v>376</v>
      </c>
      <c r="E5" s="24">
        <f>DAYS360($B$3,E3,TRUE)</f>
        <v>736</v>
      </c>
    </row>
    <row r="6" spans="1:12" ht="12.75">
      <c r="A6" s="43" t="s">
        <v>67</v>
      </c>
      <c r="B6" s="45">
        <v>0</v>
      </c>
      <c r="C6" s="45">
        <v>0.0004</v>
      </c>
      <c r="D6" s="45">
        <v>0.0012</v>
      </c>
      <c r="E6" s="45">
        <v>0.0023</v>
      </c>
      <c r="F6" s="47"/>
      <c r="G6" s="47"/>
      <c r="H6" s="47"/>
      <c r="I6" s="47"/>
      <c r="J6" s="47"/>
      <c r="K6" s="47"/>
      <c r="L6" s="47"/>
    </row>
    <row r="7" spans="1:12" ht="12.75">
      <c r="A7" s="43" t="s">
        <v>65</v>
      </c>
      <c r="B7" s="24">
        <f>(1-B6)*B4+(B6*$B$12*B4)</f>
        <v>-106</v>
      </c>
      <c r="C7" s="24">
        <f>(1-C6)*C4+(C6*$B$12*C4)</f>
        <v>5.873355</v>
      </c>
      <c r="D7" s="24">
        <f>(1-D6)*D4+(D6*$B$12*D4)</f>
        <v>5.870065</v>
      </c>
      <c r="E7" s="24">
        <f>(1-E6)*E4+(E6*$B$12*E4)</f>
        <v>105.70454125</v>
      </c>
      <c r="F7" s="24"/>
      <c r="G7" s="24"/>
      <c r="H7" s="24"/>
      <c r="I7" s="24"/>
      <c r="J7" s="24"/>
      <c r="K7" s="24"/>
      <c r="L7" s="24"/>
    </row>
    <row r="8" spans="1:5" ht="12.75">
      <c r="A8" s="43" t="s">
        <v>63</v>
      </c>
      <c r="B8" s="21">
        <f>B7/(1+$B$10)^(B5/360)</f>
        <v>-106</v>
      </c>
      <c r="C8" s="21">
        <f>C7/(1+$B$10)^(C5/360)</f>
        <v>5.85919322157886</v>
      </c>
      <c r="D8" s="21">
        <f>D7/(1+$B$10)^(D5/360)</f>
        <v>5.546318115978651</v>
      </c>
      <c r="E8" s="21">
        <f>E7/(1+$B$10)^(E5/360)</f>
        <v>94.59448287920202</v>
      </c>
    </row>
    <row r="9" spans="1:2" ht="12.75">
      <c r="A9" s="43" t="s">
        <v>64</v>
      </c>
      <c r="B9" s="20">
        <f>SUM(B8:E8)</f>
        <v>-5.783240467849282E-06</v>
      </c>
    </row>
    <row r="10" spans="1:2" ht="12.75">
      <c r="A10" s="43" t="s">
        <v>62</v>
      </c>
      <c r="B10" s="27">
        <v>0.0558195602818728</v>
      </c>
    </row>
    <row r="11" ht="12.75">
      <c r="A11" s="43"/>
    </row>
    <row r="12" spans="1:2" ht="12.75">
      <c r="A12" s="43" t="s">
        <v>78</v>
      </c>
      <c r="B12" s="42">
        <v>0.3</v>
      </c>
    </row>
    <row r="15" ht="12.75">
      <c r="A15" s="23" t="s">
        <v>72</v>
      </c>
    </row>
    <row r="16" spans="1:2" ht="12.75">
      <c r="A16" t="s">
        <v>73</v>
      </c>
      <c r="B16">
        <f>E5</f>
        <v>736</v>
      </c>
    </row>
    <row r="17" spans="1:2" ht="12.75">
      <c r="A17" t="s">
        <v>74</v>
      </c>
      <c r="B17">
        <f>B16/360</f>
        <v>2.0444444444444443</v>
      </c>
    </row>
    <row r="18" spans="1:2" ht="12.75">
      <c r="A18" t="s">
        <v>75</v>
      </c>
      <c r="B18">
        <f>0.0004*B17^4-0.0096*B17^3+0.0798*B17^2-0.0038*B17+1.8686</f>
        <v>2.11932892117665</v>
      </c>
    </row>
    <row r="20" spans="1:3" ht="12.75">
      <c r="A20" s="23" t="s">
        <v>76</v>
      </c>
      <c r="C20" s="26">
        <f>B10-B18/100</f>
        <v>0.034626271070106296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RWTH Aachen, LuF Allgemeine 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Risikoprämienberechnung</dc:title>
  <dc:subject>Anleihen</dc:subject>
  <dc:creator>C. Rouette</dc:creator>
  <cp:keywords/>
  <dc:description/>
  <cp:lastModifiedBy>Benner</cp:lastModifiedBy>
  <cp:lastPrinted>2004-06-30T09:18:16Z</cp:lastPrinted>
  <dcterms:created xsi:type="dcterms:W3CDTF">2003-06-24T16:28:07Z</dcterms:created>
  <dcterms:modified xsi:type="dcterms:W3CDTF">2006-06-29T11:47:52Z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-1232912049</vt:i4>
  </property>
  <property fmtid="{D5CDD505-2E9C-101B-9397-08002B2CF9AE}" pid="3" name="_EmailSubject">
    <vt:lpwstr>Musterlösung Kapitel 5 mit Excel-Sheet</vt:lpwstr>
  </property>
  <property fmtid="{D5CDD505-2E9C-101B-9397-08002B2CF9AE}" pid="4" name="_AuthorEmail">
    <vt:lpwstr>benner@abwl.rwth-aachen.de</vt:lpwstr>
  </property>
  <property fmtid="{D5CDD505-2E9C-101B-9397-08002B2CF9AE}" pid="5" name="_AuthorEmailDisplayName">
    <vt:lpwstr>Benner, Oliver</vt:lpwstr>
  </property>
</Properties>
</file>